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Šios_darbaknygės" defaultThemeVersion="166925"/>
  <mc:AlternateContent xmlns:mc="http://schemas.openxmlformats.org/markup-compatibility/2006">
    <mc:Choice Requires="x15">
      <x15ac:absPath xmlns:x15ac="http://schemas.microsoft.com/office/spreadsheetml/2010/11/ac" url="C:\Users\Vartotojas\Desktop\Documents\Darbinis 2021\STRATEGIJA_NAUJA_2022\Kvietimai_2023-2029\2_kvietimas\"/>
    </mc:Choice>
  </mc:AlternateContent>
  <xr:revisionPtr revIDLastSave="0" documentId="13_ncr:1_{BF0935AC-1F10-493C-86BB-CA739F3A69CF}" xr6:coauthVersionLast="47" xr6:coauthVersionMax="47" xr10:uidLastSave="{00000000-0000-0000-0000-000000000000}"/>
  <bookViews>
    <workbookView xWindow="28680" yWindow="-120" windowWidth="29040" windowHeight="15720" firstSheet="4" activeTab="8" xr2:uid="{00000000-000D-0000-FFFF-FFFF00000000}"/>
  </bookViews>
  <sheets>
    <sheet name="FA_nvoFormos" sheetId="35" state="hidden" r:id="rId1"/>
    <sheet name="Konstantos" sheetId="24" state="hidden" r:id="rId2"/>
    <sheet name="Forma" sheetId="29" state="hidden" r:id="rId3"/>
    <sheet name="Parametrai" sheetId="27" state="hidden"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state="hidden" r:id="rId18"/>
    <sheet name="9.2_nvo" sheetId="33" state="hidden" r:id="rId19"/>
    <sheet name="9.3_nvo" sheetId="34" state="hidden" r:id="rId20"/>
    <sheet name="10_nvo" sheetId="36" state="hidden"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29" l="1"/>
  <c r="B86" i="24"/>
  <c r="A86" i="24" s="1"/>
  <c r="B85" i="24"/>
  <c r="A85" i="24" s="1"/>
  <c r="B87" i="24"/>
  <c r="A87" i="24" s="1"/>
  <c r="D62" i="10"/>
  <c r="F37" i="32"/>
  <c r="G37" i="32" s="1"/>
  <c r="E37" i="32"/>
  <c r="E36" i="32"/>
  <c r="F36" i="32" s="1"/>
  <c r="G36" i="32" s="1"/>
  <c r="H36" i="32" s="1"/>
  <c r="C6" i="7"/>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F30" i="34"/>
  <c r="G30" i="34"/>
  <c r="H30" i="34"/>
  <c r="I30" i="34"/>
  <c r="J30" i="34"/>
  <c r="K30" i="34"/>
  <c r="L30" i="34"/>
  <c r="F31" i="34"/>
  <c r="G31" i="34"/>
  <c r="H31" i="34"/>
  <c r="I31" i="34"/>
  <c r="J31" i="34"/>
  <c r="K31" i="34"/>
  <c r="L31" i="34"/>
  <c r="D31" i="34"/>
  <c r="E31" i="34"/>
  <c r="D30" i="34"/>
  <c r="A8" i="29"/>
  <c r="D43" i="32"/>
  <c r="O6" i="36"/>
  <c r="O5" i="36"/>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5" i="34"/>
  <c r="D6" i="34" s="1"/>
  <c r="I11" i="33"/>
  <c r="L11" i="33"/>
  <c r="E13" i="33"/>
  <c r="E11" i="33" s="1"/>
  <c r="F13" i="33"/>
  <c r="F11" i="33" s="1"/>
  <c r="G13" i="33"/>
  <c r="G11" i="33" s="1"/>
  <c r="H13" i="33"/>
  <c r="H11" i="33" s="1"/>
  <c r="I13" i="33"/>
  <c r="J13" i="33"/>
  <c r="J11" i="33" s="1"/>
  <c r="K13" i="33"/>
  <c r="K11" i="33" s="1"/>
  <c r="L13" i="33"/>
  <c r="D13" i="33"/>
  <c r="D11" i="33" s="1"/>
  <c r="D54" i="32"/>
  <c r="D55" i="32"/>
  <c r="E54" i="32"/>
  <c r="F54" i="32"/>
  <c r="G54" i="32"/>
  <c r="H54" i="32"/>
  <c r="I54" i="32"/>
  <c r="J54" i="32"/>
  <c r="K54" i="32"/>
  <c r="L54" i="32"/>
  <c r="D41" i="32"/>
  <c r="F22" i="33"/>
  <c r="D23" i="33"/>
  <c r="D11" i="34" s="1"/>
  <c r="E21" i="33"/>
  <c r="F21" i="33"/>
  <c r="G21" i="33"/>
  <c r="H21" i="33"/>
  <c r="I21" i="33"/>
  <c r="J21" i="33"/>
  <c r="K21" i="33"/>
  <c r="L21" i="33"/>
  <c r="D21" i="33"/>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K21" i="32"/>
  <c r="K13" i="34" s="1"/>
  <c r="J21" i="32"/>
  <c r="I21" i="32"/>
  <c r="I13" i="34" s="1"/>
  <c r="H21" i="32"/>
  <c r="G21" i="32"/>
  <c r="F21" i="32"/>
  <c r="F13" i="34" s="1"/>
  <c r="E21" i="32"/>
  <c r="E13" i="34" s="1"/>
  <c r="D21"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G19" i="23"/>
  <c r="L13" i="34" l="1"/>
  <c r="H13" i="34"/>
  <c r="D45" i="34"/>
  <c r="D24" i="33"/>
  <c r="K36" i="32"/>
  <c r="D4" i="16"/>
  <c r="E4" i="16" s="1"/>
  <c r="H4" i="36"/>
  <c r="G13" i="34"/>
  <c r="J13" i="34"/>
  <c r="E6" i="34"/>
  <c r="D53" i="32"/>
  <c r="D20" i="32"/>
  <c r="H22" i="33"/>
  <c r="G22" i="33"/>
  <c r="E6" i="33"/>
  <c r="E6" i="32"/>
  <c r="F10" i="25"/>
  <c r="G10" i="25" s="1"/>
  <c r="F4" i="7"/>
  <c r="G4" i="7" s="1"/>
  <c r="E5" i="6"/>
  <c r="E4" i="10"/>
  <c r="E29" i="12"/>
  <c r="E15" i="12"/>
  <c r="E6" i="15"/>
  <c r="E6" i="14"/>
  <c r="G6" i="13"/>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I11" i="15"/>
  <c r="E21" i="14"/>
  <c r="E11" i="15" s="1"/>
  <c r="F21" i="14"/>
  <c r="F11" i="15" s="1"/>
  <c r="G21" i="14"/>
  <c r="G11" i="15" s="1"/>
  <c r="H21" i="14"/>
  <c r="H11" i="15" s="1"/>
  <c r="I21" i="14"/>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P7" i="6" l="1"/>
  <c r="T6" i="6"/>
  <c r="H40" i="34"/>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R21" i="6"/>
  <c r="A6" i="6"/>
  <c r="C14" i="11"/>
  <c r="I27" i="11"/>
  <c r="I83" i="11"/>
  <c r="I69" i="11"/>
  <c r="I55" i="11"/>
  <c r="H15" i="11"/>
  <c r="H12" i="11"/>
  <c r="P8" i="6" l="1"/>
  <c r="T7" i="6"/>
  <c r="F27" i="11"/>
  <c r="J32" i="11" s="1"/>
  <c r="E58" i="15"/>
  <c r="E40" i="34"/>
  <c r="E45" i="34" s="1"/>
  <c r="G40" i="34"/>
  <c r="G45" i="34" s="1"/>
  <c r="J6" i="34"/>
  <c r="J40" i="34" s="1"/>
  <c r="J45" i="34" s="1"/>
  <c r="G22" i="6"/>
  <c r="F79" i="6"/>
  <c r="F49" i="6"/>
  <c r="G15" i="6"/>
  <c r="I41" i="11"/>
  <c r="F85" i="6"/>
  <c r="F73" i="6"/>
  <c r="F67" i="6"/>
  <c r="F61" i="6"/>
  <c r="F55" i="6"/>
  <c r="F43" i="6"/>
  <c r="F36" i="6"/>
  <c r="F29"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P9" i="6" l="1"/>
  <c r="T8" i="6"/>
  <c r="E45" i="32"/>
  <c r="E43" i="32" s="1"/>
  <c r="E41" i="32" s="1"/>
  <c r="K6" i="34"/>
  <c r="K40" i="34" s="1"/>
  <c r="K45" i="34" s="1"/>
  <c r="G79" i="6"/>
  <c r="G49" i="6"/>
  <c r="H15" i="6"/>
  <c r="F41" i="11"/>
  <c r="F40" i="34" s="1"/>
  <c r="F45" i="34" s="1"/>
  <c r="H32" i="11"/>
  <c r="G85" i="6"/>
  <c r="G73" i="6"/>
  <c r="G67" i="6"/>
  <c r="G61" i="6"/>
  <c r="G55" i="6"/>
  <c r="G43" i="6"/>
  <c r="G36" i="6"/>
  <c r="G29" i="6"/>
  <c r="R86" i="6"/>
  <c r="R79" i="6"/>
  <c r="R74" i="6"/>
  <c r="R67" i="6"/>
  <c r="R61" i="6"/>
  <c r="R56" i="6"/>
  <c r="R43" i="6"/>
  <c r="R37" i="6"/>
  <c r="R30" i="6"/>
  <c r="R23" i="6"/>
  <c r="I22" i="6"/>
  <c r="A8" i="6"/>
  <c r="L5" i="12"/>
  <c r="O6" i="16"/>
  <c r="O7" i="16"/>
  <c r="P10" i="6" l="1"/>
  <c r="T9" i="6"/>
  <c r="J46" i="11"/>
  <c r="H46" i="11" s="1"/>
  <c r="L6" i="34"/>
  <c r="L40" i="34" s="1"/>
  <c r="L45" i="34" s="1"/>
  <c r="H79" i="6"/>
  <c r="H49" i="6"/>
  <c r="I15" i="6"/>
  <c r="F55" i="11"/>
  <c r="H85" i="6"/>
  <c r="H73" i="6"/>
  <c r="H67" i="6"/>
  <c r="H61" i="6"/>
  <c r="H55" i="6"/>
  <c r="H43" i="6"/>
  <c r="H36" i="6"/>
  <c r="H29" i="6"/>
  <c r="R80" i="6"/>
  <c r="R68" i="6"/>
  <c r="R62" i="6"/>
  <c r="R44" i="6"/>
  <c r="J22" i="6"/>
  <c r="A9" i="6"/>
  <c r="E17" i="12"/>
  <c r="D25" i="34"/>
  <c r="D32" i="34" s="1"/>
  <c r="D61" i="10"/>
  <c r="D24" i="10"/>
  <c r="P11" i="6" l="1"/>
  <c r="A10" i="6"/>
  <c r="T10" i="6"/>
  <c r="J60" i="11"/>
  <c r="H60" i="11" s="1"/>
  <c r="E53" i="13"/>
  <c r="I79" i="6"/>
  <c r="I49" i="6"/>
  <c r="J15" i="6"/>
  <c r="F69" i="11"/>
  <c r="F83" i="11" s="1"/>
  <c r="I85" i="6"/>
  <c r="I73" i="6"/>
  <c r="I67" i="6"/>
  <c r="I61" i="6"/>
  <c r="I55" i="6"/>
  <c r="I43" i="6"/>
  <c r="I36" i="6"/>
  <c r="I29" i="6"/>
  <c r="K22" i="6"/>
  <c r="F58" i="15"/>
  <c r="F45" i="32" s="1"/>
  <c r="F43" i="32" s="1"/>
  <c r="P12" i="6" l="1"/>
  <c r="T11" i="6"/>
  <c r="A11" i="6"/>
  <c r="J74" i="11"/>
  <c r="H74" i="11" s="1"/>
  <c r="J88" i="11"/>
  <c r="H88" i="11" s="1"/>
  <c r="F41" i="32"/>
  <c r="J79" i="6"/>
  <c r="J49" i="6"/>
  <c r="J8" i="6" s="1"/>
  <c r="L15" i="6"/>
  <c r="K15" i="6"/>
  <c r="F19" i="11"/>
  <c r="D11" i="11" s="1"/>
  <c r="J85" i="6"/>
  <c r="J73" i="6"/>
  <c r="J67" i="6"/>
  <c r="J61" i="6"/>
  <c r="J55" i="6"/>
  <c r="J43" i="6"/>
  <c r="J36" i="6"/>
  <c r="J29"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G48" i="15" s="1"/>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E18" i="12"/>
  <c r="F17" i="12"/>
  <c r="D16" i="12"/>
  <c r="L11" i="12"/>
  <c r="E89" i="11"/>
  <c r="E82" i="11"/>
  <c r="D82" i="11"/>
  <c r="H76" i="11" s="1"/>
  <c r="E75" i="11"/>
  <c r="E68" i="1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L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J9" i="6"/>
  <c r="G9" i="6"/>
  <c r="F9" i="6"/>
  <c r="E9" i="6"/>
  <c r="D9" i="6"/>
  <c r="E15" i="6"/>
  <c r="C14" i="6"/>
  <c r="E6" i="10" l="1"/>
  <c r="E9" i="10" s="1"/>
  <c r="D11" i="32"/>
  <c r="D11" i="13"/>
  <c r="D23" i="12"/>
  <c r="E16" i="12" s="1"/>
  <c r="E23" i="12" s="1"/>
  <c r="F16" i="12" s="1"/>
  <c r="F23" i="12" s="1"/>
  <c r="G16" i="12" s="1"/>
  <c r="G23" i="12" s="1"/>
  <c r="H16" i="12" s="1"/>
  <c r="H23" i="12" s="1"/>
  <c r="I16" i="12" s="1"/>
  <c r="I23" i="12" s="1"/>
  <c r="J16" i="12" s="1"/>
  <c r="J23" i="12" s="1"/>
  <c r="K16" i="12" s="1"/>
  <c r="K23" i="12" s="1"/>
  <c r="D59" i="10"/>
  <c r="E19" i="11"/>
  <c r="C10" i="11" s="1"/>
  <c r="D50" i="32"/>
  <c r="D49" i="32" s="1"/>
  <c r="D51" i="32"/>
  <c r="P13" i="6"/>
  <c r="T12" i="6"/>
  <c r="A12" i="6"/>
  <c r="K15" i="14"/>
  <c r="K20" i="33"/>
  <c r="E15" i="14"/>
  <c r="F15" i="14"/>
  <c r="G15" i="14"/>
  <c r="I15" i="14"/>
  <c r="I20" i="33"/>
  <c r="I19" i="33" s="1"/>
  <c r="J15" i="14"/>
  <c r="J20" i="33"/>
  <c r="L16" i="14"/>
  <c r="L24" i="33"/>
  <c r="D15" i="14"/>
  <c r="D20" i="33"/>
  <c r="D19" i="33" s="1"/>
  <c r="L15" i="14"/>
  <c r="L20" i="33"/>
  <c r="E59" i="13"/>
  <c r="E57" i="13" s="1"/>
  <c r="E55" i="32"/>
  <c r="E53" i="32" s="1"/>
  <c r="G41" i="32"/>
  <c r="J10" i="14"/>
  <c r="J10" i="33"/>
  <c r="J9" i="14"/>
  <c r="J9" i="33"/>
  <c r="D10" i="14"/>
  <c r="D10" i="33"/>
  <c r="E10" i="14"/>
  <c r="E10" i="33"/>
  <c r="F10" i="14"/>
  <c r="F10" i="33"/>
  <c r="G10" i="14"/>
  <c r="G10" i="33"/>
  <c r="G16" i="14"/>
  <c r="G24" i="33"/>
  <c r="G19" i="33" s="1"/>
  <c r="J16" i="14"/>
  <c r="J24" i="33"/>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31" i="15"/>
  <c r="E40" i="15" s="1"/>
  <c r="L85" i="6"/>
  <c r="L9" i="6" s="1"/>
  <c r="K85" i="6"/>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C14" i="7" s="1"/>
  <c r="I16" i="14"/>
  <c r="H15" i="14"/>
  <c r="F7" i="6"/>
  <c r="E7" i="6"/>
  <c r="I9" i="6"/>
  <c r="H9" i="6"/>
  <c r="H7" i="6"/>
  <c r="I7" i="6"/>
  <c r="J7" i="6"/>
  <c r="G7" i="6"/>
  <c r="F22" i="15"/>
  <c r="I20" i="15"/>
  <c r="I22" i="15"/>
  <c r="G20" i="15"/>
  <c r="K22" i="15"/>
  <c r="L22" i="15"/>
  <c r="I16" i="15"/>
  <c r="E51" i="10"/>
  <c r="E54" i="10" s="1"/>
  <c r="F6" i="10"/>
  <c r="F9" i="10" s="1"/>
  <c r="D68" i="10"/>
  <c r="E15" i="10"/>
  <c r="D29" i="10"/>
  <c r="D64" i="10"/>
  <c r="E11" i="10"/>
  <c r="E29" i="10"/>
  <c r="E13" i="32" s="1"/>
  <c r="D39" i="10"/>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K9" i="15"/>
  <c r="J14" i="7"/>
  <c r="K17" i="33" s="1"/>
  <c r="L9" i="15"/>
  <c r="K14" i="7"/>
  <c r="L17" i="33" s="1"/>
  <c r="E9" i="15"/>
  <c r="F9" i="15"/>
  <c r="E14" i="7"/>
  <c r="F17" i="33" s="1"/>
  <c r="F29" i="10"/>
  <c r="G21" i="10"/>
  <c r="G24" i="10" s="1"/>
  <c r="E39" i="10"/>
  <c r="F35" i="10"/>
  <c r="F38" i="10" s="1"/>
  <c r="G35" i="10" s="1"/>
  <c r="G38" i="10" s="1"/>
  <c r="H35" i="10" s="1"/>
  <c r="H38" i="10" s="1"/>
  <c r="I35" i="10" s="1"/>
  <c r="I38" i="10" s="1"/>
  <c r="J35" i="10" s="1"/>
  <c r="J38" i="10" s="1"/>
  <c r="K35" i="10" s="1"/>
  <c r="K38" i="10" s="1"/>
  <c r="L35" i="10" s="1"/>
  <c r="L38" i="10" s="1"/>
  <c r="E59" i="10"/>
  <c r="F51" i="10"/>
  <c r="F54" i="10" s="1"/>
  <c r="E49" i="10"/>
  <c r="F41" i="10"/>
  <c r="F44" i="10" s="1"/>
  <c r="G31" i="10"/>
  <c r="G34" i="10" s="1"/>
  <c r="D19" i="10"/>
  <c r="D49" i="10"/>
  <c r="F16" i="33" l="1"/>
  <c r="F11" i="32"/>
  <c r="F11" i="13"/>
  <c r="J19" i="33"/>
  <c r="E15" i="13"/>
  <c r="E15" i="32"/>
  <c r="D14" i="13"/>
  <c r="D14" i="32"/>
  <c r="D9" i="13"/>
  <c r="D9" i="32"/>
  <c r="K9" i="6"/>
  <c r="K10" i="33" s="1"/>
  <c r="N11" i="12"/>
  <c r="D15" i="13"/>
  <c r="D15" i="32"/>
  <c r="E14" i="13"/>
  <c r="E14" i="32"/>
  <c r="D13" i="13"/>
  <c r="D13" i="32"/>
  <c r="P14" i="6"/>
  <c r="A13" i="6"/>
  <c r="T13" i="6"/>
  <c r="E9" i="13"/>
  <c r="E9" i="32"/>
  <c r="E16" i="33"/>
  <c r="E11" i="32"/>
  <c r="E11" i="13"/>
  <c r="E49" i="32"/>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K10" i="14"/>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8" i="32" s="1"/>
  <c r="D31" i="32" s="1"/>
  <c r="D69" i="10"/>
  <c r="G18" i="12"/>
  <c r="G55" i="32" s="1"/>
  <c r="G53" i="32" s="1"/>
  <c r="F59" i="13"/>
  <c r="F57" i="13" s="1"/>
  <c r="H17" i="12"/>
  <c r="G53" i="13"/>
  <c r="K7" i="6"/>
  <c r="L7" i="6"/>
  <c r="L49" i="6"/>
  <c r="K8" i="6"/>
  <c r="H14" i="7"/>
  <c r="I17" i="33" s="1"/>
  <c r="I16" i="33" s="1"/>
  <c r="F14" i="7"/>
  <c r="G17" i="33" s="1"/>
  <c r="G16" i="33" s="1"/>
  <c r="G14" i="7"/>
  <c r="H17" i="33" s="1"/>
  <c r="H16" i="33" s="1"/>
  <c r="J9" i="15"/>
  <c r="I14" i="7"/>
  <c r="J17" i="33" s="1"/>
  <c r="J16" i="33" s="1"/>
  <c r="D9" i="15"/>
  <c r="L8" i="6"/>
  <c r="L16" i="12"/>
  <c r="L23" i="12" s="1"/>
  <c r="D6" i="6"/>
  <c r="C25" i="23" s="1" a="1"/>
  <c r="C25" i="23" s="1"/>
  <c r="J8" i="14"/>
  <c r="J7" i="14" s="1"/>
  <c r="E61" i="10"/>
  <c r="E14" i="10"/>
  <c r="G6" i="10"/>
  <c r="G9" i="10" s="1"/>
  <c r="D12" i="13"/>
  <c r="C6" i="11"/>
  <c r="E47" i="11"/>
  <c r="H9" i="15"/>
  <c r="G9" i="15"/>
  <c r="I9" i="15"/>
  <c r="I6" i="6"/>
  <c r="D8" i="14"/>
  <c r="G6" i="6"/>
  <c r="F6" i="6"/>
  <c r="E6" i="6"/>
  <c r="H6" i="6"/>
  <c r="F49" i="10"/>
  <c r="G41" i="10"/>
  <c r="G44" i="10" s="1"/>
  <c r="G51" i="10"/>
  <c r="G54" i="10" s="1"/>
  <c r="F59" i="10"/>
  <c r="G39" i="10"/>
  <c r="H31" i="10"/>
  <c r="H34" i="10" s="1"/>
  <c r="F39" i="10"/>
  <c r="H21" i="10"/>
  <c r="H24" i="10" s="1"/>
  <c r="G29" i="10"/>
  <c r="E65" i="10"/>
  <c r="E18" i="10"/>
  <c r="F15" i="13" l="1"/>
  <c r="F15" i="32"/>
  <c r="D10" i="13"/>
  <c r="D8" i="13" s="1"/>
  <c r="P15" i="6"/>
  <c r="A14" i="6"/>
  <c r="T14" i="6"/>
  <c r="G11" i="32"/>
  <c r="G11" i="13"/>
  <c r="F14" i="13"/>
  <c r="F14" i="32"/>
  <c r="G14" i="13"/>
  <c r="G14" i="32"/>
  <c r="F9" i="13"/>
  <c r="F9" i="32"/>
  <c r="F7" i="33"/>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I58" i="15"/>
  <c r="I45" i="32" s="1"/>
  <c r="I43" i="32" s="1"/>
  <c r="H6" i="10"/>
  <c r="H9" i="10" s="1"/>
  <c r="F11" i="10"/>
  <c r="E64" i="10"/>
  <c r="H39" i="10"/>
  <c r="I31" i="10"/>
  <c r="I34" i="10" s="1"/>
  <c r="I21" i="10"/>
  <c r="I24" i="10" s="1"/>
  <c r="H29" i="10"/>
  <c r="E68" i="10"/>
  <c r="F15" i="10"/>
  <c r="E19" i="10"/>
  <c r="H51" i="10"/>
  <c r="H54" i="10" s="1"/>
  <c r="G59" i="10"/>
  <c r="G49" i="10"/>
  <c r="H41" i="10"/>
  <c r="H44" i="10" s="1"/>
  <c r="G15" i="13" l="1"/>
  <c r="G15" i="32"/>
  <c r="H14" i="13"/>
  <c r="H14" i="32"/>
  <c r="P16" i="6"/>
  <c r="A15" i="6"/>
  <c r="T15" i="6"/>
  <c r="G9" i="13"/>
  <c r="G9" i="32"/>
  <c r="H11" i="32"/>
  <c r="H11" i="13"/>
  <c r="D35" i="32"/>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J58" i="15"/>
  <c r="J45" i="32" s="1"/>
  <c r="J43" i="32" s="1"/>
  <c r="F14" i="10"/>
  <c r="F61" i="10"/>
  <c r="I6" i="10"/>
  <c r="I9" i="10" s="1"/>
  <c r="E12" i="13"/>
  <c r="E10" i="13" s="1"/>
  <c r="E8" i="13" s="1"/>
  <c r="H59" i="10"/>
  <c r="I51" i="10"/>
  <c r="I54" i="10" s="1"/>
  <c r="H49" i="10"/>
  <c r="I41" i="10"/>
  <c r="I44" i="10" s="1"/>
  <c r="I39" i="10"/>
  <c r="J31" i="10"/>
  <c r="J34" i="10" s="1"/>
  <c r="F65" i="10"/>
  <c r="F18" i="10"/>
  <c r="I29" i="10"/>
  <c r="J21" i="10"/>
  <c r="J24" i="10" s="1"/>
  <c r="H15" i="13" l="1"/>
  <c r="H15" i="32"/>
  <c r="H9" i="13"/>
  <c r="H9" i="32"/>
  <c r="I11" i="32"/>
  <c r="I11" i="13"/>
  <c r="P17" i="6"/>
  <c r="A16" i="6"/>
  <c r="T16" i="6"/>
  <c r="I14" i="13"/>
  <c r="I14" i="32"/>
  <c r="D34" i="32"/>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L58" i="15"/>
  <c r="K58" i="15"/>
  <c r="K45" i="32" s="1"/>
  <c r="K43" i="32" s="1"/>
  <c r="J6" i="10"/>
  <c r="J9" i="10" s="1"/>
  <c r="F64" i="10"/>
  <c r="G11" i="10"/>
  <c r="K21" i="10"/>
  <c r="K24" i="10" s="1"/>
  <c r="J29" i="10"/>
  <c r="J41" i="10"/>
  <c r="J44" i="10" s="1"/>
  <c r="I49" i="10"/>
  <c r="G15" i="10"/>
  <c r="F68" i="10"/>
  <c r="F19" i="10"/>
  <c r="F12" i="32" s="1"/>
  <c r="F10" i="32" s="1"/>
  <c r="F8" i="32" s="1"/>
  <c r="J51" i="10"/>
  <c r="J54" i="10" s="1"/>
  <c r="I59" i="10"/>
  <c r="J39" i="10"/>
  <c r="K31" i="10"/>
  <c r="K34" i="10" s="1"/>
  <c r="J11" i="32" l="1"/>
  <c r="J11" i="13"/>
  <c r="J14" i="13"/>
  <c r="J14" i="32"/>
  <c r="P18" i="6"/>
  <c r="T17" i="6"/>
  <c r="A17" i="6"/>
  <c r="I9" i="13"/>
  <c r="I9" i="32"/>
  <c r="I15" i="13"/>
  <c r="I15" i="32"/>
  <c r="G35" i="32"/>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K6" i="10"/>
  <c r="K9" i="10" s="1"/>
  <c r="G61" i="10"/>
  <c r="G14" i="10"/>
  <c r="F69" i="10"/>
  <c r="F12" i="13"/>
  <c r="F10" i="13" s="1"/>
  <c r="F8" i="13" s="1"/>
  <c r="G47" i="15"/>
  <c r="G60" i="15" s="1"/>
  <c r="G65" i="10"/>
  <c r="G18" i="10"/>
  <c r="K39" i="10"/>
  <c r="L31" i="10"/>
  <c r="L34" i="10" s="1"/>
  <c r="L39" i="10" s="1"/>
  <c r="K41" i="10"/>
  <c r="K44" i="10" s="1"/>
  <c r="J49" i="10"/>
  <c r="J59" i="10"/>
  <c r="K51" i="10"/>
  <c r="K54" i="10" s="1"/>
  <c r="K29" i="10"/>
  <c r="L21" i="10"/>
  <c r="L24" i="10" s="1"/>
  <c r="L29" i="10" s="1"/>
  <c r="J15" i="13" l="1"/>
  <c r="J15" i="32"/>
  <c r="K11" i="32"/>
  <c r="K11" i="13"/>
  <c r="J9" i="13"/>
  <c r="J9" i="32"/>
  <c r="P19" i="6"/>
  <c r="T18" i="6"/>
  <c r="A18" i="6"/>
  <c r="L14" i="13"/>
  <c r="L14" i="32"/>
  <c r="K14" i="13"/>
  <c r="K14" i="32"/>
  <c r="H35" i="32"/>
  <c r="K49" i="32"/>
  <c r="J50" i="13"/>
  <c r="L41" i="32"/>
  <c r="N45" i="32"/>
  <c r="L53" i="13"/>
  <c r="K13" i="13"/>
  <c r="K13" i="32"/>
  <c r="L13" i="13"/>
  <c r="L13" i="32"/>
  <c r="J46" i="13"/>
  <c r="K59" i="13"/>
  <c r="K57" i="13" s="1"/>
  <c r="L18" i="12"/>
  <c r="L55" i="32" s="1"/>
  <c r="L53" i="32" s="1"/>
  <c r="J8" i="15"/>
  <c r="J29" i="15" s="1"/>
  <c r="J7" i="16"/>
  <c r="L30" i="12"/>
  <c r="L33" i="12" s="1"/>
  <c r="L52" i="13" s="1"/>
  <c r="K52" i="13"/>
  <c r="K51" i="13" s="1"/>
  <c r="G64" i="10"/>
  <c r="H11" i="10"/>
  <c r="L6" i="10"/>
  <c r="L9" i="10" s="1"/>
  <c r="H47" i="15"/>
  <c r="H5" i="16"/>
  <c r="H15" i="10"/>
  <c r="G68" i="10"/>
  <c r="G19" i="10"/>
  <c r="G12" i="32" s="1"/>
  <c r="G10" i="32" s="1"/>
  <c r="G8" i="32" s="1"/>
  <c r="K59" i="10"/>
  <c r="L51" i="10"/>
  <c r="L54" i="10" s="1"/>
  <c r="L59" i="10" s="1"/>
  <c r="K49" i="10"/>
  <c r="L41" i="10"/>
  <c r="L44" i="10" s="1"/>
  <c r="L49" i="10" s="1"/>
  <c r="L9" i="13" l="1"/>
  <c r="L9" i="32"/>
  <c r="K9" i="13"/>
  <c r="K9" i="32"/>
  <c r="P20" i="6"/>
  <c r="T19" i="6"/>
  <c r="A19" i="6"/>
  <c r="L15" i="13"/>
  <c r="L15" i="32"/>
  <c r="L11" i="32"/>
  <c r="L11" i="13"/>
  <c r="K15" i="13"/>
  <c r="K15" i="32"/>
  <c r="H60" i="15"/>
  <c r="H62" i="15" s="1"/>
  <c r="I35" i="32"/>
  <c r="K50" i="13"/>
  <c r="L51" i="13"/>
  <c r="L51" i="32"/>
  <c r="L50" i="32" s="1"/>
  <c r="L49" i="32" s="1"/>
  <c r="L59" i="13"/>
  <c r="L57" i="13" s="1"/>
  <c r="H14" i="10"/>
  <c r="H61" i="10"/>
  <c r="G69" i="10"/>
  <c r="G12" i="13"/>
  <c r="G10" i="13" s="1"/>
  <c r="G8" i="13" s="1"/>
  <c r="I47" i="15"/>
  <c r="I60" i="15" s="1"/>
  <c r="H65" i="10"/>
  <c r="H18" i="10"/>
  <c r="P21" i="6" l="1"/>
  <c r="T20" i="6"/>
  <c r="A20" i="6"/>
  <c r="J35" i="32"/>
  <c r="L50" i="13"/>
  <c r="H64" i="10"/>
  <c r="I11" i="10"/>
  <c r="J47" i="15"/>
  <c r="J5" i="16"/>
  <c r="I15" i="10"/>
  <c r="H68" i="10"/>
  <c r="H19" i="10"/>
  <c r="H12" i="32" s="1"/>
  <c r="H10" i="32" s="1"/>
  <c r="H8" i="32" s="1"/>
  <c r="P22" i="6" l="1"/>
  <c r="A21" i="6"/>
  <c r="T21" i="6"/>
  <c r="J60" i="15"/>
  <c r="J62" i="15" s="1"/>
  <c r="K35" i="32"/>
  <c r="I14" i="10"/>
  <c r="I61" i="10"/>
  <c r="H69" i="10"/>
  <c r="H12" i="13"/>
  <c r="H10" i="13" s="1"/>
  <c r="H8" i="13" s="1"/>
  <c r="L47" i="15"/>
  <c r="L60" i="15" s="1"/>
  <c r="K47" i="15"/>
  <c r="K60" i="15" s="1"/>
  <c r="I18" i="10"/>
  <c r="I65" i="10"/>
  <c r="P23" i="6" l="1"/>
  <c r="A22" i="6"/>
  <c r="T22" i="6"/>
  <c r="L35" i="32"/>
  <c r="J11" i="10"/>
  <c r="I64" i="10"/>
  <c r="J15" i="10"/>
  <c r="I68" i="10"/>
  <c r="I19" i="10"/>
  <c r="I12" i="32" s="1"/>
  <c r="I10" i="32" s="1"/>
  <c r="I8" i="32" s="1"/>
  <c r="P24" i="6" l="1"/>
  <c r="A23" i="6"/>
  <c r="T23" i="6"/>
  <c r="J61" i="10"/>
  <c r="J14" i="10"/>
  <c r="I69" i="10"/>
  <c r="I12" i="13"/>
  <c r="I10" i="13" s="1"/>
  <c r="I8" i="13" s="1"/>
  <c r="J18" i="10"/>
  <c r="J65" i="10"/>
  <c r="P25" i="6" l="1"/>
  <c r="A24" i="6"/>
  <c r="T24" i="6"/>
  <c r="K11" i="10"/>
  <c r="J64" i="10"/>
  <c r="K15" i="10"/>
  <c r="J68" i="10"/>
  <c r="J19" i="10"/>
  <c r="J12" i="32" s="1"/>
  <c r="J10" i="32" s="1"/>
  <c r="J8" i="32" s="1"/>
  <c r="T25" i="6" l="1"/>
  <c r="A25" i="6"/>
  <c r="P26" i="6"/>
  <c r="K14" i="10"/>
  <c r="K61" i="10"/>
  <c r="J69" i="10"/>
  <c r="J12" i="13"/>
  <c r="J10" i="13" s="1"/>
  <c r="J8" i="13" s="1"/>
  <c r="K65" i="10"/>
  <c r="K18" i="10"/>
  <c r="P27" i="6" l="1"/>
  <c r="T26" i="6"/>
  <c r="A26" i="6"/>
  <c r="L11" i="10"/>
  <c r="K64" i="10"/>
  <c r="K68" i="10"/>
  <c r="L15" i="10"/>
  <c r="K19" i="10"/>
  <c r="K12" i="32" s="1"/>
  <c r="K10" i="32" s="1"/>
  <c r="K8" i="32" s="1"/>
  <c r="P28" i="6" l="1"/>
  <c r="T27" i="6"/>
  <c r="A27" i="6"/>
  <c r="L14" i="10"/>
  <c r="L64" i="10" s="1"/>
  <c r="L61" i="10"/>
  <c r="K69" i="10"/>
  <c r="K12" i="13"/>
  <c r="K10" i="13" s="1"/>
  <c r="K8" i="13" s="1"/>
  <c r="L18" i="10"/>
  <c r="L65" i="10"/>
  <c r="P29" i="6" l="1"/>
  <c r="T28" i="6"/>
  <c r="A28" i="6"/>
  <c r="L68" i="10"/>
  <c r="L19" i="10"/>
  <c r="L12" i="32" s="1"/>
  <c r="L10" i="32" s="1"/>
  <c r="L8" i="32" s="1"/>
  <c r="P30" i="6" l="1"/>
  <c r="A29" i="6"/>
  <c r="T29" i="6"/>
  <c r="L69" i="10"/>
  <c r="L12" i="13"/>
  <c r="L10" i="13" s="1"/>
  <c r="L8" i="13" s="1"/>
  <c r="D14" i="14"/>
  <c r="P31" i="6" l="1"/>
  <c r="A30" i="6"/>
  <c r="T30" i="6"/>
  <c r="D17" i="14"/>
  <c r="D22" i="14" s="1"/>
  <c r="P32" i="6" l="1"/>
  <c r="A31" i="6"/>
  <c r="T31" i="6"/>
  <c r="D24" i="14"/>
  <c r="D46" i="13" s="1"/>
  <c r="D45" i="13" s="1"/>
  <c r="D26" i="14"/>
  <c r="A32" i="6" l="1"/>
  <c r="T32" i="6"/>
  <c r="P33" i="6"/>
  <c r="E47" i="13"/>
  <c r="D7" i="16"/>
  <c r="D8" i="15"/>
  <c r="D29" i="15" s="1"/>
  <c r="T33" i="6" l="1"/>
  <c r="A33" i="6"/>
  <c r="P34" i="6"/>
  <c r="D5" i="16"/>
  <c r="D62" i="15"/>
  <c r="D64" i="15" s="1"/>
  <c r="T34" i="6" l="1"/>
  <c r="A34" i="6"/>
  <c r="P35" i="6"/>
  <c r="N30" i="32"/>
  <c r="D4" i="34"/>
  <c r="T35" i="6" l="1"/>
  <c r="A35" i="6"/>
  <c r="P36" i="6"/>
  <c r="T36" i="6" l="1"/>
  <c r="A36" i="6"/>
  <c r="P37" i="6"/>
  <c r="A37" i="6" l="1"/>
  <c r="T37" i="6"/>
  <c r="P38" i="6"/>
  <c r="A38" i="6" l="1"/>
  <c r="T38" i="6"/>
  <c r="P39" i="6"/>
  <c r="A39" i="6" l="1"/>
  <c r="T39" i="6"/>
  <c r="P40" i="6"/>
  <c r="A40" i="6" l="1"/>
  <c r="T40" i="6"/>
  <c r="P41" i="6"/>
  <c r="T41" i="6" l="1"/>
  <c r="A41" i="6"/>
  <c r="P42" i="6"/>
  <c r="E7" i="14"/>
  <c r="E14" i="14" s="1"/>
  <c r="G7" i="14"/>
  <c r="G14" i="14" s="1"/>
  <c r="G17" i="14" s="1"/>
  <c r="G22" i="14" s="1"/>
  <c r="I7" i="14"/>
  <c r="I14" i="14" s="1"/>
  <c r="I17" i="14" s="1"/>
  <c r="I22" i="14" s="1"/>
  <c r="K7" i="14"/>
  <c r="K14" i="14" s="1"/>
  <c r="K17" i="14" s="1"/>
  <c r="K22" i="14" s="1"/>
  <c r="L7" i="14"/>
  <c r="L14" i="14" s="1"/>
  <c r="L17" i="14" s="1"/>
  <c r="L22" i="14" s="1"/>
  <c r="T42" i="6" l="1"/>
  <c r="A42" i="6"/>
  <c r="P43" i="6"/>
  <c r="E17" i="14"/>
  <c r="E22" i="14" s="1"/>
  <c r="E23" i="14" s="1"/>
  <c r="E24" i="14" s="1"/>
  <c r="E46" i="13" s="1"/>
  <c r="K23" i="14"/>
  <c r="K24" i="14" s="1"/>
  <c r="I23" i="14"/>
  <c r="I24" i="14" s="1"/>
  <c r="L23" i="14"/>
  <c r="L24" i="14" s="1"/>
  <c r="G23" i="14"/>
  <c r="G24" i="14" s="1"/>
  <c r="T43" i="6" l="1"/>
  <c r="A43" i="6"/>
  <c r="P44" i="6"/>
  <c r="G7" i="16"/>
  <c r="E45" i="13"/>
  <c r="E38" i="32"/>
  <c r="E34" i="32" s="1"/>
  <c r="L7" i="16"/>
  <c r="K46" i="13"/>
  <c r="K7" i="16"/>
  <c r="K8" i="15"/>
  <c r="K29" i="15" s="1"/>
  <c r="G46" i="13"/>
  <c r="G8" i="15"/>
  <c r="G29" i="15" s="1"/>
  <c r="E8" i="15"/>
  <c r="E29" i="15" s="1"/>
  <c r="E7" i="16"/>
  <c r="I8" i="15"/>
  <c r="I29" i="15" s="1"/>
  <c r="I7" i="16"/>
  <c r="I46" i="13"/>
  <c r="T44" i="6" l="1"/>
  <c r="A44" i="6"/>
  <c r="P45" i="6"/>
  <c r="K5" i="16"/>
  <c r="F40" i="32"/>
  <c r="F38" i="32" s="1"/>
  <c r="F34" i="32" s="1"/>
  <c r="E61" i="32"/>
  <c r="L46" i="13"/>
  <c r="L8" i="15"/>
  <c r="L29" i="15" s="1"/>
  <c r="K62" i="15"/>
  <c r="F47" i="13"/>
  <c r="F45" i="13" s="1"/>
  <c r="G5" i="16"/>
  <c r="G62" i="15"/>
  <c r="I5" i="16"/>
  <c r="I62" i="15"/>
  <c r="A45" i="6" l="1"/>
  <c r="T45" i="6"/>
  <c r="P46" i="6"/>
  <c r="L5" i="16"/>
  <c r="G40" i="32"/>
  <c r="G38" i="32" s="1"/>
  <c r="G34" i="32" s="1"/>
  <c r="F61" i="32"/>
  <c r="L62" i="15"/>
  <c r="G47" i="13"/>
  <c r="G45" i="13" s="1"/>
  <c r="A46" i="6" l="1"/>
  <c r="T46" i="6"/>
  <c r="P47" i="6"/>
  <c r="H40" i="32"/>
  <c r="H38" i="32" s="1"/>
  <c r="H34" i="32" s="1"/>
  <c r="G61" i="32"/>
  <c r="G47" i="34" s="1"/>
  <c r="H47" i="13"/>
  <c r="H45" i="13" s="1"/>
  <c r="A47" i="6" l="1"/>
  <c r="T47" i="6"/>
  <c r="P48" i="6"/>
  <c r="I40" i="32"/>
  <c r="I38" i="32" s="1"/>
  <c r="I34" i="32" s="1"/>
  <c r="H61" i="32"/>
  <c r="H47" i="34" s="1"/>
  <c r="I47" i="13"/>
  <c r="I45" i="13" s="1"/>
  <c r="A48" i="6" l="1"/>
  <c r="T48" i="6"/>
  <c r="P49" i="6"/>
  <c r="J40" i="32"/>
  <c r="J38" i="32" s="1"/>
  <c r="J34" i="32" s="1"/>
  <c r="I61" i="32"/>
  <c r="I47" i="34" s="1"/>
  <c r="J47" i="13"/>
  <c r="J45" i="13" s="1"/>
  <c r="T49" i="6" l="1"/>
  <c r="A49" i="6"/>
  <c r="P50" i="6"/>
  <c r="K40" i="32"/>
  <c r="K38" i="32" s="1"/>
  <c r="K34" i="32" s="1"/>
  <c r="J61" i="32"/>
  <c r="J47" i="34" s="1"/>
  <c r="K47" i="13"/>
  <c r="K45" i="13" s="1"/>
  <c r="T50" i="6" l="1"/>
  <c r="A50" i="6"/>
  <c r="P51" i="6"/>
  <c r="L40" i="32"/>
  <c r="L38" i="32" s="1"/>
  <c r="K61" i="32"/>
  <c r="K47" i="34" s="1"/>
  <c r="L47" i="13"/>
  <c r="L45" i="13" s="1"/>
  <c r="T51" i="6" l="1"/>
  <c r="A51" i="6"/>
  <c r="P52" i="6"/>
  <c r="L34" i="32"/>
  <c r="L61" i="32" s="1"/>
  <c r="L47" i="34"/>
  <c r="T52" i="6" l="1"/>
  <c r="A52" i="6"/>
  <c r="P53" i="6"/>
  <c r="A53" i="6" l="1"/>
  <c r="T53" i="6"/>
  <c r="P54" i="6"/>
  <c r="A54" i="6" l="1"/>
  <c r="T54" i="6"/>
  <c r="P55" i="6"/>
  <c r="A55" i="6" l="1"/>
  <c r="T55" i="6"/>
  <c r="P56" i="6"/>
  <c r="A56" i="6" l="1"/>
  <c r="T56" i="6"/>
  <c r="P57" i="6"/>
  <c r="F47" i="15"/>
  <c r="T57" i="6" l="1"/>
  <c r="A57" i="6"/>
  <c r="P58" i="6"/>
  <c r="F60" i="15"/>
  <c r="F62" i="15" s="1"/>
  <c r="F5" i="16"/>
  <c r="T58" i="6" l="1"/>
  <c r="A58" i="6"/>
  <c r="P59" i="6"/>
  <c r="E48" i="13"/>
  <c r="F48" i="13" s="1"/>
  <c r="G48" i="13" s="1"/>
  <c r="E47" i="15"/>
  <c r="E5" i="16"/>
  <c r="T59" i="6" l="1"/>
  <c r="A59" i="6"/>
  <c r="P60" i="6"/>
  <c r="E60" i="15"/>
  <c r="E62" i="15" s="1"/>
  <c r="H48" i="13"/>
  <c r="T60" i="6" l="1"/>
  <c r="A60" i="6"/>
  <c r="P61" i="6"/>
  <c r="I48" i="13"/>
  <c r="A61" i="6" l="1"/>
  <c r="T61" i="6"/>
  <c r="P62" i="6"/>
  <c r="J48" i="13"/>
  <c r="A62" i="6" l="1"/>
  <c r="T62" i="6"/>
  <c r="P63" i="6"/>
  <c r="K48" i="13"/>
  <c r="A63" i="6" l="1"/>
  <c r="T63" i="6"/>
  <c r="P64" i="6"/>
  <c r="L48" i="13"/>
  <c r="A64" i="6" l="1"/>
  <c r="T64" i="6"/>
  <c r="P65" i="6"/>
  <c r="N48" i="13"/>
  <c r="T65" i="6" l="1"/>
  <c r="A65" i="6"/>
  <c r="P66" i="6"/>
  <c r="E33" i="11"/>
  <c r="C7" i="11"/>
  <c r="T66" i="6" l="1"/>
  <c r="A66" i="6"/>
  <c r="P67" i="6"/>
  <c r="C5" i="11"/>
  <c r="T67" i="6" l="1"/>
  <c r="A67" i="6"/>
  <c r="P68" i="6"/>
  <c r="C9" i="11"/>
  <c r="J2" i="10" s="1"/>
  <c r="T68" i="6" l="1"/>
  <c r="A68" i="6"/>
  <c r="P69" i="6"/>
  <c r="D2" i="10"/>
  <c r="K2" i="10"/>
  <c r="F2" i="10"/>
  <c r="G2" i="10"/>
  <c r="H2" i="10"/>
  <c r="L2" i="10"/>
  <c r="I2" i="10"/>
  <c r="E2" i="10"/>
  <c r="T69" i="6" l="1"/>
  <c r="A69" i="6"/>
  <c r="P70" i="6"/>
  <c r="N2" i="10"/>
  <c r="N3" i="10"/>
  <c r="A70" i="6" l="1"/>
  <c r="T70" i="6"/>
  <c r="P71" i="6"/>
  <c r="D20" i="13"/>
  <c r="D34" i="13" s="1"/>
  <c r="D39" i="13" s="1"/>
  <c r="A71" i="6" l="1"/>
  <c r="T71" i="6"/>
  <c r="P72" i="6"/>
  <c r="D6" i="16"/>
  <c r="E63" i="15"/>
  <c r="E64" i="15" s="1"/>
  <c r="E29" i="32" s="1"/>
  <c r="N33" i="13"/>
  <c r="N65" i="15"/>
  <c r="D8" i="16"/>
  <c r="A72" i="6" l="1"/>
  <c r="T72" i="6"/>
  <c r="P73" i="6"/>
  <c r="E39" i="13"/>
  <c r="D38" i="13"/>
  <c r="D37" i="13" s="1"/>
  <c r="D66" i="13" s="1"/>
  <c r="D2" i="13" s="1"/>
  <c r="D2" i="33" s="1"/>
  <c r="E32" i="13"/>
  <c r="F63" i="15"/>
  <c r="F64" i="15" s="1"/>
  <c r="F29" i="32" s="1"/>
  <c r="F20" i="32" s="1"/>
  <c r="F31" i="32" s="1"/>
  <c r="T73" i="6" l="1"/>
  <c r="A73" i="6"/>
  <c r="P74" i="6"/>
  <c r="F2" i="32"/>
  <c r="F2" i="34" s="1"/>
  <c r="F5" i="36"/>
  <c r="F39" i="13"/>
  <c r="E38" i="13"/>
  <c r="D2" i="15"/>
  <c r="D2" i="14"/>
  <c r="F32" i="13"/>
  <c r="F20" i="13" s="1"/>
  <c r="G63" i="15"/>
  <c r="G64" i="15" s="1"/>
  <c r="G29" i="32" s="1"/>
  <c r="E20" i="13"/>
  <c r="T74" i="6" l="1"/>
  <c r="A74" i="6"/>
  <c r="P75" i="6"/>
  <c r="E37" i="13"/>
  <c r="E66" i="13" s="1"/>
  <c r="G20" i="32"/>
  <c r="G31" i="32" s="1"/>
  <c r="E34" i="13"/>
  <c r="E8" i="16"/>
  <c r="H63" i="15"/>
  <c r="H64" i="15" s="1"/>
  <c r="H29" i="32" s="1"/>
  <c r="H20" i="32" s="1"/>
  <c r="H31" i="32" s="1"/>
  <c r="G32" i="13"/>
  <c r="F8" i="16"/>
  <c r="F34" i="13"/>
  <c r="F38" i="13"/>
  <c r="G39" i="13"/>
  <c r="T75" i="6" l="1"/>
  <c r="A75" i="6"/>
  <c r="P76" i="6"/>
  <c r="F37" i="13"/>
  <c r="F66" i="13" s="1"/>
  <c r="F2" i="13" s="1"/>
  <c r="F2" i="33" s="1"/>
  <c r="H2" i="32"/>
  <c r="H2" i="34" s="1"/>
  <c r="H5" i="36"/>
  <c r="G2" i="32"/>
  <c r="G2" i="34" s="1"/>
  <c r="G5" i="36"/>
  <c r="F6" i="16"/>
  <c r="E6" i="16"/>
  <c r="G20" i="13"/>
  <c r="I63" i="15"/>
  <c r="I64" i="15" s="1"/>
  <c r="I29" i="32" s="1"/>
  <c r="H32" i="13"/>
  <c r="H20" i="13" s="1"/>
  <c r="H39" i="13"/>
  <c r="G38" i="13"/>
  <c r="E2" i="13"/>
  <c r="E2" i="33" s="1"/>
  <c r="A76" i="6" l="1"/>
  <c r="T76" i="6"/>
  <c r="P77" i="6"/>
  <c r="G37" i="13"/>
  <c r="G66" i="13" s="1"/>
  <c r="I20" i="32"/>
  <c r="I31" i="32" s="1"/>
  <c r="H34" i="13"/>
  <c r="H8" i="16"/>
  <c r="I32" i="13"/>
  <c r="I20" i="13" s="1"/>
  <c r="J63" i="15"/>
  <c r="J64" i="15" s="1"/>
  <c r="J29" i="32" s="1"/>
  <c r="J20" i="32" s="1"/>
  <c r="J31" i="32" s="1"/>
  <c r="H38" i="13"/>
  <c r="I39" i="13"/>
  <c r="G8" i="16"/>
  <c r="G34" i="13"/>
  <c r="E2" i="14"/>
  <c r="E2" i="15"/>
  <c r="F2" i="15"/>
  <c r="F2" i="14"/>
  <c r="A77" i="6" l="1"/>
  <c r="T77" i="6"/>
  <c r="P78" i="6"/>
  <c r="H37" i="13"/>
  <c r="H66" i="13" s="1"/>
  <c r="H2" i="13" s="1"/>
  <c r="H2" i="33" s="1"/>
  <c r="J2" i="32"/>
  <c r="J2" i="34" s="1"/>
  <c r="J5" i="36"/>
  <c r="I2" i="32"/>
  <c r="I2" i="34" s="1"/>
  <c r="I5" i="36"/>
  <c r="G6" i="16"/>
  <c r="H6" i="16"/>
  <c r="G2" i="13"/>
  <c r="G2" i="33" s="1"/>
  <c r="J32" i="13"/>
  <c r="K63" i="15"/>
  <c r="K64" i="15" s="1"/>
  <c r="K29" i="32" s="1"/>
  <c r="K20" i="32" s="1"/>
  <c r="K31" i="32" s="1"/>
  <c r="J39" i="13"/>
  <c r="I38" i="13"/>
  <c r="I8" i="16"/>
  <c r="I34" i="13"/>
  <c r="A78" i="6" l="1"/>
  <c r="T78" i="6"/>
  <c r="P79" i="6"/>
  <c r="I37" i="13"/>
  <c r="I66" i="13" s="1"/>
  <c r="I2" i="13" s="1"/>
  <c r="I2" i="33" s="1"/>
  <c r="K2" i="32"/>
  <c r="K2" i="34" s="1"/>
  <c r="K5" i="36"/>
  <c r="I6" i="16"/>
  <c r="J20" i="13"/>
  <c r="L63" i="15"/>
  <c r="L64" i="15" s="1"/>
  <c r="K32" i="13"/>
  <c r="K20" i="13" s="1"/>
  <c r="G2" i="14"/>
  <c r="G2" i="15"/>
  <c r="J38" i="13"/>
  <c r="K39" i="13"/>
  <c r="H2" i="15"/>
  <c r="H2" i="14"/>
  <c r="A79" i="6" l="1"/>
  <c r="T79" i="6"/>
  <c r="P80" i="6"/>
  <c r="J37" i="13"/>
  <c r="J66" i="13" s="1"/>
  <c r="N64" i="15"/>
  <c r="L29" i="32"/>
  <c r="J34" i="13"/>
  <c r="J8" i="16"/>
  <c r="L39" i="13"/>
  <c r="L38" i="13" s="1"/>
  <c r="K38" i="13"/>
  <c r="K8" i="16"/>
  <c r="K34" i="13"/>
  <c r="L32" i="13"/>
  <c r="I2" i="15"/>
  <c r="I2" i="14"/>
  <c r="A80" i="6" l="1"/>
  <c r="T80" i="6"/>
  <c r="P81" i="6"/>
  <c r="K37" i="13"/>
  <c r="K66" i="13" s="1"/>
  <c r="K2" i="13" s="1"/>
  <c r="K2" i="33" s="1"/>
  <c r="L37" i="13"/>
  <c r="L66" i="13" s="1"/>
  <c r="K6" i="16"/>
  <c r="J6" i="16"/>
  <c r="L20" i="32"/>
  <c r="L31" i="32" s="1"/>
  <c r="L20" i="13"/>
  <c r="N32" i="13"/>
  <c r="J2" i="13"/>
  <c r="J2" i="33" s="1"/>
  <c r="T81" i="6" l="1"/>
  <c r="A81" i="6"/>
  <c r="P82" i="6"/>
  <c r="L2" i="32"/>
  <c r="L2" i="34" s="1"/>
  <c r="L5" i="36"/>
  <c r="K2" i="15"/>
  <c r="K2" i="14"/>
  <c r="J2" i="15"/>
  <c r="J2" i="14"/>
  <c r="L34" i="13"/>
  <c r="L8" i="16"/>
  <c r="T82" i="6" l="1"/>
  <c r="A82" i="6"/>
  <c r="P83" i="6"/>
  <c r="L6" i="16"/>
  <c r="L2" i="13"/>
  <c r="L2" i="33" s="1"/>
  <c r="N2" i="33" s="1"/>
  <c r="T83" i="6" l="1"/>
  <c r="A83" i="6"/>
  <c r="P84" i="6"/>
  <c r="L2" i="14"/>
  <c r="N2" i="14" s="1"/>
  <c r="L2" i="15"/>
  <c r="N2" i="15" s="1"/>
  <c r="N2" i="13"/>
  <c r="T84" i="6" l="1"/>
  <c r="A84" i="6"/>
  <c r="P85" i="6"/>
  <c r="E20" i="32"/>
  <c r="E31" i="32" s="1"/>
  <c r="E5" i="36" s="1"/>
  <c r="N29" i="32"/>
  <c r="A85" i="6" l="1"/>
  <c r="T85" i="6"/>
  <c r="P86" i="6"/>
  <c r="E49" i="34"/>
  <c r="F47" i="34"/>
  <c r="E2" i="32"/>
  <c r="N2" i="32" s="1"/>
  <c r="A86" i="6" l="1"/>
  <c r="T86" i="6"/>
  <c r="E4" i="34"/>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<sst xmlns="http://schemas.openxmlformats.org/spreadsheetml/2006/main" count="1760" uniqueCount="1048">
  <si>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</si>
  <si>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</si>
  <si>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</si>
  <si>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</si>
  <si>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</si>
  <si>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</si>
  <si>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</si>
  <si>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</si>
  <si>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</si>
  <si>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</si>
  <si>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</si>
  <si>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</si>
  <si>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</si>
  <si>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</si>
  <si>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</si>
  <si>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</si>
  <si>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</si>
  <si>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</si>
  <si>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</si>
  <si>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</si>
  <si>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</si>
  <si>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</si>
  <si>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</si>
  <si>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</si>
  <si>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</si>
  <si>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</si>
  <si>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</si>
  <si>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</si>
  <si>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</si>
  <si>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</si>
  <si>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</si>
  <si>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</si>
  <si>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</si>
  <si>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</si>
  <si>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</si>
  <si>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</si>
  <si>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</si>
  <si>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</si>
  <si>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</si>
  <si>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</si>
  <si>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</si>
  <si>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</si>
  <si>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</si>
  <si>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</si>
  <si>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</si>
  <si>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</si>
  <si>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</si>
  <si>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</si>
  <si>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</si>
  <si>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</si>
  <si>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</si>
  <si>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</si>
  <si>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</si>
  <si>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</si>
  <si>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</si>
  <si>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</si>
  <si>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</si>
  <si>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</si>
  <si>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</si>
  <si>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</si>
  <si>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</si>
  <si>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</si>
  <si>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</si>
  <si>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</si>
  <si>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</si>
  <si>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</si>
  <si>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</si>
  <si>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</si>
  <si>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</si>
  <si>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</si>
  <si>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</si>
  <si>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</si>
  <si>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</si>
  <si>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</si>
  <si>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</si>
  <si>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</si>
  <si>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</si>
  <si>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</si>
  <si>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</si>
  <si>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</si>
  <si>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</si>
  <si>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</si>
  <si>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</si>
  <si>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</si>
  <si>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</si>
  <si>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</si>
  <si>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</si>
  <si>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</si>
  <si>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</si>
  <si>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</si>
  <si>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</si>
  <si>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</si>
  <si>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</si>
  <si>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</si>
  <si>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</si>
  <si>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</si>
  <si>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</si>
  <si>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</si>
  <si>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</si>
  <si>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</si>
  <si>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</si>
  <si>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</si>
  <si>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</si>
  <si>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</si>
  <si>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</si>
  <si>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</si>
  <si>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</si>
  <si>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</si>
  <si>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</si>
  <si>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</si>
  <si>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</si>
  <si>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</si>
  <si>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</si>
  <si>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</si>
  <si>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</si>
  <si>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</si>
  <si>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</si>
  <si>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</si>
  <si>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</si>
  <si>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</si>
  <si>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</si>
  <si>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</si>
  <si>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</si>
  <si>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</si>
  <si>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</si>
  <si>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</si>
  <si>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</si>
  <si>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</si>
  <si>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</si>
  <si>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</si>
  <si>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</si>
  <si>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</si>
  <si>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</si>
  <si>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</si>
  <si>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</si>
  <si>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</si>
  <si>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</si>
  <si>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</si>
  <si>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PO VIENERIŲ METŲ MOKĖTINOS SUMOS IR KITI ILGALAIKIAI ĮSIPAREIGOJIMAI</t>
  </si>
  <si>
    <t>Skoliniai įsipareigojimai</t>
  </si>
  <si>
    <t>Skolos kredito įstaigoms</t>
  </si>
  <si>
    <t>Gauti avansai</t>
  </si>
  <si>
    <t>Skolos tiekėjams</t>
  </si>
  <si>
    <t>Kitos mokėtinos sumos ir ilgalaikiai įsipareigojimai</t>
  </si>
  <si>
    <t>PER VIENERIUS METUS MOKĖTINOS SUMOS IR KITI TRUMPALAIKIAI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</si>
  <si>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</si>
  <si>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</si>
  <si>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</si>
  <si>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</si>
  <si>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</si>
  <si>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</si>
  <si>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</si>
  <si>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</si>
  <si>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</si>
  <si>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</si>
  <si>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</si>
  <si>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</si>
  <si>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</si>
  <si>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</si>
  <si>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</si>
  <si>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</si>
  <si>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</si>
  <si>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</si>
  <si>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</si>
  <si>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</si>
  <si>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</si>
  <si>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</si>
  <si>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</si>
  <si>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</si>
  <si>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</si>
  <si>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</si>
  <si>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</si>
  <si>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</si>
  <si>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</si>
  <si>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</si>
  <si>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</si>
  <si>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</si>
  <si>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</si>
  <si>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</si>
  <si>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</si>
  <si>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</si>
  <si>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</si>
  <si>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</si>
  <si>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</si>
  <si>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</si>
  <si>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</si>
  <si>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</si>
  <si>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</si>
  <si>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</si>
  <si>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</si>
  <si>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</si>
  <si>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</si>
  <si>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</si>
  <si>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</si>
  <si>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</si>
  <si>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</si>
  <si>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</si>
  <si>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</si>
  <si>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</si>
  <si>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</si>
  <si>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</si>
  <si>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</si>
  <si>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</si>
  <si>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</si>
  <si>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</si>
  <si>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</si>
  <si>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</si>
  <si>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</si>
  <si>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</si>
  <si>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</si>
  <si>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</si>
  <si>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</si>
  <si>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</si>
  <si>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</si>
  <si>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</si>
  <si>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</si>
  <si>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</si>
  <si>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</si>
  <si>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</si>
  <si>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</si>
  <si>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</si>
  <si>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</si>
  <si>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</si>
  <si>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</si>
  <si>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</si>
  <si>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</si>
  <si>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</si>
  <si>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</si>
  <si>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</si>
  <si>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</si>
  <si>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</si>
  <si>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</si>
  <si>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</si>
  <si>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</si>
  <si>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</si>
  <si>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</si>
  <si>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</si>
  <si>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</si>
  <si>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</si>
  <si>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</si>
  <si>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</si>
  <si>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</si>
  <si>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</si>
  <si>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</si>
  <si>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</si>
  <si>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</si>
  <si>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</si>
  <si>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</si>
  <si>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</si>
  <si>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</si>
  <si>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</si>
  <si>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</si>
  <si>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</si>
  <si>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</si>
  <si>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</si>
  <si>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</si>
  <si>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</si>
  <si>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</si>
  <si>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</si>
  <si>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</si>
  <si>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</si>
  <si>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</si>
  <si>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</si>
  <si>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</si>
  <si>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</si>
  <si>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</si>
  <si>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</si>
  <si>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</si>
  <si>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</si>
  <si>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</si>
  <si>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</si>
  <si>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</si>
  <si>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</si>
  <si>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</si>
  <si>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</si>
  <si>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</si>
  <si>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</si>
  <si>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</si>
  <si>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</si>
  <si>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</si>
  <si>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</si>
  <si>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</si>
  <si>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</si>
  <si>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</si>
  <si>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</si>
  <si>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</si>
  <si>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</si>
  <si>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</si>
  <si>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</si>
  <si>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</si>
  <si>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</si>
  <si>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</si>
  <si>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</si>
  <si>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</si>
  <si>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</si>
  <si>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</si>
  <si>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</si>
  <si>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</si>
  <si>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</si>
  <si>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</si>
  <si>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</si>
  <si>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</si>
  <si>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</si>
  <si>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</si>
  <si>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</si>
  <si>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</si>
  <si>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</si>
  <si>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Pildoma, jei planuojamas socialinis verslas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</si>
  <si>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</si>
  <si>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</si>
  <si>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</si>
  <si>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</si>
  <si>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</si>
  <si>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</si>
  <si>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</si>
  <si>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</si>
  <si>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</si>
  <si>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</si>
  <si>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</si>
  <si>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</si>
  <si>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</si>
  <si>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</si>
  <si>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</si>
  <si>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</si>
  <si>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</si>
  <si>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</si>
  <si>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</si>
  <si>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</si>
  <si>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</si>
  <si>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</si>
  <si>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</si>
  <si>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</si>
  <si>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</si>
  <si>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</si>
  <si>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</si>
  <si>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</si>
  <si>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</si>
  <si>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</si>
  <si>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</si>
  <si>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</si>
  <si>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</si>
  <si>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</si>
  <si>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</si>
  <si>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</si>
  <si>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</si>
  <si>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</si>
  <si>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</si>
  <si>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</si>
  <si>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</si>
  <si>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</si>
  <si>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</si>
  <si>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</si>
  <si>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 turi sutapti su duomenimis paraiškoje</t>
  </si>
  <si>
    <t>Prašomos paramos dydis</t>
  </si>
  <si>
    <t>Didžiausias galimas išmokėti avanso dydis</t>
  </si>
  <si>
    <t>Paramos išmokėjimas už I etapą data ir suma</t>
  </si>
  <si>
    <t>Paramos išmokėjimas už II etapą data ir suma</t>
  </si>
  <si>
    <t>Paramos išmokėjimas už III etapą data ir suma</t>
  </si>
  <si>
    <t>Paramos išmokėjimas už IV etapą data ir suma</t>
  </si>
  <si>
    <t>Suma finansavimui</t>
  </si>
  <si>
    <t>Etapai</t>
  </si>
  <si>
    <t>Įrašykite pareiškėjo pavadinimą (jeigu tai juridinis asmuo) arba vardą ir pavardę (jeigu tai fizinis asmuo)</t>
  </si>
  <si>
    <t>Pajamos iš gamybos</t>
  </si>
  <si>
    <t>Pajamos iš paslaugų</t>
  </si>
  <si>
    <t>Pajamos iš kitos veiklos</t>
  </si>
  <si>
    <t>Gaminamo produkto pavadinimas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</si>
  <si>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</si>
  <si>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</si>
  <si>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</si>
  <si>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</si>
  <si>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</si>
  <si>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</si>
  <si>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</si>
  <si>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</si>
  <si>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</si>
  <si>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</si>
  <si>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</si>
  <si>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</si>
  <si>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</si>
  <si>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</si>
  <si>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</si>
  <si>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</si>
  <si>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</si>
  <si>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</si>
  <si>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t>Adresas, e-paštas, telefono Nr.</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</si>
  <si>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</si>
  <si>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</si>
  <si>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</si>
  <si>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</si>
  <si>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</si>
  <si>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</si>
  <si>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</si>
  <si>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</si>
  <si>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</si>
  <si>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</si>
  <si>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</si>
  <si>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</si>
  <si>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</si>
  <si>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</si>
  <si>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</si>
  <si>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</si>
  <si>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</si>
  <si>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</si>
  <si>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</si>
  <si>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</si>
  <si>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</si>
  <si>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</si>
  <si>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</si>
  <si>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</si>
  <si>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</si>
  <si>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Paaiškinimas reikalingas tik tuomet, kai naudojamas kitoks, nei 15 proc. tarifas</t>
  </si>
  <si>
    <t>Paskolų aptarnavimo suvestinė.</t>
  </si>
  <si>
    <t>Pateikiama informacija apie pareiškėjo turimas paskolas iš kredito ir ne kredito įstaigų, taip pat, išperkamąją nuomą (lizingą) ataskaitinių metų pabaigoje.</t>
  </si>
  <si>
    <t>Išperkamosios nuomos (lizingo) aptarnavimo suvestinė.</t>
  </si>
  <si>
    <t>&lt;&lt; Įvesta 5.2 lentelėje</t>
  </si>
  <si>
    <t>Išperkamoji nuoma (lizingas)</t>
  </si>
  <si>
    <t>Įskaitant ilgalaikį biologinį turtą</t>
  </si>
  <si>
    <t>9.2.1.</t>
  </si>
  <si>
    <t>9.2.1.1</t>
  </si>
  <si>
    <t>9.2.2.</t>
  </si>
  <si>
    <t>Išperkamosios nuomos (lizingo) aptarnavimas, Eur</t>
  </si>
  <si>
    <t>Pateikiama informacija apie planuojamų parduoti prekių ir (arba) paslaugų pirkėjus/klientus. Glaustai apibūdinami pagrindinių rinkos segmentų požymiai, pirkėjų/kleintų poreikiai, kokioms prekėms/paslaugoms jie teikia prioritetą, kiek pareiškėjo gaminamos prekės ir (arba) teikiamos paslaugos atitinka pirkėjų/klientų poreikius. Apbūdinamos galimos rinkos kitimo tendencijos.</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</si>
  <si>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</si>
  <si>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</si>
  <si>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</si>
  <si>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</si>
  <si>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</si>
  <si>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Teikiamos paslaugos pavadinimas</t>
  </si>
  <si>
    <t>Kitos veiklos pavadinimas</t>
  </si>
  <si>
    <t>Nurodoma žemės vertė,  įskaitant mišką.</t>
  </si>
  <si>
    <t>Nurodoma vertė, įskaitant sumokėtus avansus ir vykdomus materialiojo turto  statybos (gamybos) darbus</t>
  </si>
  <si>
    <t>Automatiškai priskiriamos visos darbo užmokečio sąnaudos (3.1.1. lentelė). Jei dalis šių sąnaudų buvo priskirtos ne pardavimų savikainai, jos įvdamos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</si>
  <si>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įvdamos atskirai. Prognozuojamais metais visos priskaičiuotos sąnaudos priskiriamos tų metų sąnaudoms.</t>
    </r>
  </si>
  <si>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</si>
  <si>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</si>
  <si>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</si>
  <si>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</si>
  <si>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t>Paramos suma apskaičiuojama automatiškai, remiantis 5 skyriaus duomenimis (būtina teisingai įvesti paramos dydį ir jos gavimo datą (-as))</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</si>
  <si>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</si>
  <si>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</si>
  <si>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</si>
  <si>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</si>
  <si>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</si>
  <si>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</si>
  <si>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Išperkamosios nuomos (lizingo) dalis mokėtina per ateinančius metus</t>
  </si>
  <si>
    <t>Paskolos, kurių grąžinimo trukmė pagal sutartį, ilgesnė nei 1 metai</t>
  </si>
  <si>
    <t>Paskolos, kurių grąžinimo trukmė pagal sutartį, iki 1 metų</t>
  </si>
  <si>
    <t>Išskiriama ilgalaikių paskolų dalis grąžinama per ateinančius kalendorinius metus</t>
  </si>
  <si>
    <t>Išskiriama išperkamosios nuomos dalis mokama per ateinančius kalendorinius metus</t>
  </si>
  <si>
    <t>Įskaitant ilgalaikį materialųjį turtą, skirtą parduoti</t>
  </si>
  <si>
    <t>PASTABOS</t>
  </si>
  <si>
    <t>255;205;205</t>
  </si>
  <si>
    <t>Jei:
- langelyje rašomas tekstas ir norima tekstą pradėti rašyti iš naujos eilutės langelio viduje, naudokite klavišų kombinaciją "Alt+Enter";
(Alt kairysis)</t>
  </si>
  <si>
    <t>Pagal turto pobūdį, priskirkite kitai materialaus turto grupei (6 skyrius), pvz., grupei "Pastatai ir statiniai"</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</si>
  <si>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</si>
  <si>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</si>
  <si>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</si>
  <si>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</si>
  <si>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</si>
  <si>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</si>
  <si>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</si>
  <si>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</si>
  <si>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</si>
  <si>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</si>
  <si>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</si>
  <si>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</si>
  <si>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</si>
  <si>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</si>
  <si>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</si>
  <si>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</si>
  <si>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</si>
  <si>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</si>
  <si>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</si>
  <si>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</si>
  <si>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</si>
  <si>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</si>
  <si>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</si>
  <si>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</si>
  <si>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</si>
  <si>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</si>
  <si>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</si>
  <si>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</si>
  <si>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</si>
  <si>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</si>
  <si>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</si>
  <si>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</si>
  <si>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</si>
  <si>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</si>
  <si>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</si>
  <si>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</si>
  <si>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</si>
  <si>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</si>
  <si>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</si>
  <si>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</si>
  <si>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</si>
  <si>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</si>
  <si>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</si>
  <si>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</si>
  <si>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</si>
  <si>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</si>
  <si>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</si>
  <si>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</si>
  <si>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</si>
  <si>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</si>
  <si>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</si>
  <si>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</si>
  <si>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</si>
  <si>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</si>
  <si>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</si>
  <si>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</si>
  <si>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</si>
  <si>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</si>
  <si>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Darbo užmokesčio sąnaudos, ataskaitiniais metais, įvedamos remiantis finansinės atskaitomybės duomenimis</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</si>
  <si>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</si>
  <si>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</si>
  <si>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</si>
  <si>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</si>
  <si>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</si>
  <si>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</si>
  <si>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</si>
  <si>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</si>
  <si>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</si>
  <si>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</si>
  <si>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</si>
  <si>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</si>
  <si>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</si>
  <si>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</si>
  <si>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</si>
  <si>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</si>
  <si>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</si>
  <si>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</si>
  <si>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</si>
  <si>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</si>
  <si>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</si>
  <si>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</si>
  <si>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</si>
  <si>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</si>
  <si>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</si>
  <si>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</si>
  <si>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</si>
  <si>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</si>
  <si>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</si>
  <si>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</si>
  <si>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</si>
  <si>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</si>
  <si>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</si>
  <si>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</si>
  <si>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</si>
  <si>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</si>
  <si>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</si>
  <si>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</si>
  <si>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</si>
  <si>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</si>
  <si>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</si>
  <si>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</si>
  <si>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</si>
  <si>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</si>
  <si>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</si>
  <si>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</si>
  <si>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</si>
  <si>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</si>
  <si>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</si>
  <si>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</si>
  <si>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</si>
  <si>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</si>
  <si>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Žalsvos spalvos lengeliuose gali būti pateikta svarbi informacija, kaip pildyti verslo plano eilutę, arba gali būti gautas pranešimas ar ši eilutė užpildyta teisingai.</t>
  </si>
  <si>
    <t>Verslo plane visa informacija rašoma tik į pilkos spalvos langelius.</t>
  </si>
  <si>
    <t>Melsvos spalvos fone pasirenkama reikšmė iš atverčiamo meniu.</t>
  </si>
  <si>
    <t>Baltos spalvos lengelis užrakintas ir negali būti redaguojamas.</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</si>
  <si>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</si>
  <si>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</si>
  <si>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</si>
  <si>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</si>
  <si>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</si>
  <si>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</si>
  <si>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</si>
  <si>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</si>
  <si>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</si>
  <si>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</si>
  <si>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</si>
  <si>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</si>
  <si>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</si>
  <si>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</si>
  <si>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</si>
  <si>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</si>
  <si>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</si>
  <si>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Finansinės ir investicinės veiklos pajamos: 1) Kitų ilgalaikių investicijų ir paskolų pajamos; 2) Kitos palūkanų ir panašios pajamos.</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</si>
  <si>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</si>
  <si>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</si>
  <si>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</si>
  <si>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</si>
  <si>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</si>
  <si>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</si>
  <si>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</si>
  <si>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</si>
  <si>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Kompensavimo su avansu atveju, į paramos sumą įskaičiuojamas avansas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</si>
  <si>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</si>
  <si>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</si>
  <si>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</si>
  <si>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</si>
  <si>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</si>
  <si>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</si>
  <si>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</si>
  <si>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</si>
  <si>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</si>
  <si>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</si>
  <si>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</si>
  <si>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</si>
  <si>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</si>
  <si>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</si>
  <si>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</si>
  <si>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</si>
  <si>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</si>
  <si>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</si>
  <si>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</si>
  <si>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</si>
  <si>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</si>
  <si>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</si>
  <si>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</si>
  <si>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</si>
  <si>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</si>
  <si>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</si>
  <si>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</si>
  <si>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</si>
  <si>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</si>
  <si>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</si>
  <si>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</si>
  <si>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</si>
  <si>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</si>
  <si>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</si>
  <si>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</si>
  <si>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</si>
  <si>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</si>
  <si>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</si>
  <si>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</si>
  <si>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</si>
  <si>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</si>
  <si>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</si>
  <si>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</si>
  <si>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</si>
  <si>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</si>
  <si>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</si>
  <si>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</si>
  <si>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</si>
  <si>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</si>
  <si>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</si>
  <si>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</si>
  <si>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</si>
  <si>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</si>
  <si>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</si>
  <si>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</si>
  <si>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</si>
  <si>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</si>
  <si>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</si>
  <si>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</si>
  <si>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</si>
  <si>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</si>
  <si>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</si>
  <si>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</si>
  <si>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</si>
  <si>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</si>
  <si>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</si>
  <si>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</si>
  <si>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</si>
  <si>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</si>
  <si>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</si>
  <si>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</si>
  <si>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</si>
  <si>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</si>
  <si>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</si>
  <si>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</si>
  <si>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</si>
  <si>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</si>
  <si>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</si>
  <si>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</si>
  <si>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</si>
  <si>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</si>
  <si>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</si>
  <si>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</si>
  <si>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</si>
  <si>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</si>
  <si>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</si>
  <si>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</si>
  <si>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</si>
  <si>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</si>
  <si>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</si>
  <si>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</si>
  <si>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</si>
  <si>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</si>
  <si>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</si>
  <si>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</si>
  <si>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</si>
  <si>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</si>
  <si>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</si>
  <si>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</si>
  <si>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</si>
  <si>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</si>
  <si>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</si>
  <si>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</si>
  <si>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</si>
  <si>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</si>
  <si>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</si>
  <si>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</si>
  <si>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</si>
  <si>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</si>
  <si>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</si>
  <si>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</si>
  <si>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</si>
  <si>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</si>
  <si>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</si>
  <si>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</si>
  <si>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</si>
  <si>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</si>
  <si>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</si>
  <si>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</si>
  <si>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</si>
  <si>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</si>
  <si>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</si>
  <si>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</si>
  <si>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</si>
  <si>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</si>
  <si>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</si>
  <si>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</si>
  <si>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</si>
  <si>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</si>
  <si>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</si>
  <si>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</si>
  <si>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</si>
  <si>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</si>
  <si>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</si>
  <si>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</si>
  <si>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</si>
  <si>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</si>
  <si>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</si>
  <si>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</si>
  <si>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</si>
  <si>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</si>
  <si>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</si>
  <si>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</si>
  <si>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</si>
  <si>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</si>
  <si>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</si>
  <si>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</si>
  <si>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</si>
  <si>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</si>
  <si>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</si>
  <si>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</si>
  <si>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</si>
  <si>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</si>
  <si>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</si>
  <si>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</si>
  <si>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</si>
  <si>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</si>
  <si>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</si>
  <si>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</si>
  <si>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</si>
  <si>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</si>
  <si>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</si>
  <si>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</si>
  <si>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</si>
  <si>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</si>
  <si>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</si>
  <si>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</si>
  <si>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</si>
  <si>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</si>
  <si>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</si>
  <si>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</si>
  <si>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</si>
  <si>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</si>
  <si>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</si>
  <si>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</si>
  <si>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</si>
  <si>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</si>
  <si>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</si>
  <si>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</si>
  <si>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</si>
  <si>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</si>
  <si>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</si>
  <si>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</si>
  <si>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</si>
  <si>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</si>
  <si>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</si>
  <si>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planuojamas vykdyti socialinis verslas,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</si>
  <si>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Būdas</t>
  </si>
  <si>
    <t>Paaiškinimas rašomas tik tuo atveju, kai kainos ir (ar) pardavimo kiekiai keičiasi</t>
  </si>
  <si>
    <t>Užpildžius 4 skyrių, vykdomų veiklų sąrašas sudaromas automatiškai (automatiškai neužsipildys, jei naudojate senesnes Excel versijas).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</si>
  <si>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</si>
  <si>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</si>
  <si>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</si>
  <si>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</si>
  <si>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</si>
  <si>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</si>
  <si>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</si>
  <si>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</si>
  <si>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</si>
  <si>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</si>
  <si>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</si>
  <si>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</si>
  <si>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</si>
  <si>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</si>
  <si>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</si>
  <si>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</si>
  <si>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</si>
  <si>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</si>
  <si>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</si>
  <si>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</si>
  <si>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</si>
  <si>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</si>
  <si>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</si>
  <si>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</si>
  <si>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</si>
  <si>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</si>
  <si>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</si>
  <si>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</si>
  <si>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</si>
  <si>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</si>
  <si>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</si>
  <si>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</si>
  <si>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</si>
  <si>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</si>
  <si>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</si>
  <si>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</si>
  <si>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</si>
  <si>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</si>
  <si>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</si>
  <si>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</si>
  <si>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</si>
  <si>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</si>
  <si>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</si>
  <si>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</si>
  <si>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</si>
  <si>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</si>
  <si>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</si>
  <si>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</si>
  <si>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</si>
  <si>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</si>
  <si>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</si>
  <si>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</si>
  <si>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</si>
  <si>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</si>
  <si>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</si>
  <si>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</si>
  <si>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</si>
  <si>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</si>
  <si>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</si>
  <si>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</si>
  <si>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</si>
  <si>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</si>
  <si>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</si>
  <si>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</si>
  <si>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</si>
  <si>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</si>
  <si>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</si>
  <si>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</si>
  <si>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</si>
  <si>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</si>
  <si>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</si>
  <si>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</si>
  <si>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</si>
  <si>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</si>
  <si>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</si>
  <si>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</si>
  <si>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</si>
  <si>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</si>
  <si>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</si>
  <si>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</si>
  <si>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</si>
  <si>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</si>
  <si>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</si>
  <si>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</si>
  <si>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</si>
  <si>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</si>
  <si>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</si>
  <si>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</si>
  <si>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</si>
  <si>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</si>
  <si>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</si>
  <si>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</si>
  <si>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</si>
  <si>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</si>
  <si>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</si>
  <si>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</si>
  <si>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</si>
  <si>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</si>
  <si>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</si>
  <si>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</si>
  <si>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</si>
  <si>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</si>
  <si>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</si>
  <si>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</si>
  <si>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</si>
  <si>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</si>
  <si>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</si>
  <si>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</si>
  <si>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</si>
  <si>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</si>
  <si>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</si>
  <si>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</si>
  <si>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</si>
  <si>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</si>
  <si>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</si>
  <si>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</si>
  <si>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</si>
  <si>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</si>
  <si>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</si>
  <si>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</si>
  <si>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</si>
  <si>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</si>
  <si>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</si>
  <si>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</si>
  <si>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</si>
  <si>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</si>
  <si>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</si>
  <si>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</si>
  <si>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</si>
  <si>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</si>
  <si>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</si>
  <si>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</si>
  <si>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</si>
  <si>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</si>
  <si>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</si>
  <si>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</si>
  <si>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</si>
  <si>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</si>
  <si>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</si>
  <si>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</si>
  <si>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</si>
  <si>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</si>
  <si>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</si>
  <si>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</si>
  <si>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</si>
  <si>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</si>
  <si>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</si>
  <si>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</si>
  <si>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</si>
  <si>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</si>
  <si>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</si>
  <si>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</si>
  <si>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</si>
  <si>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</si>
  <si>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</si>
  <si>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</si>
  <si>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</si>
  <si>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</si>
  <si>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</si>
  <si>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</si>
  <si>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</si>
  <si>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</si>
  <si>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</si>
  <si>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</si>
  <si>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</si>
  <si>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</si>
  <si>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</si>
  <si>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</si>
  <si>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</si>
  <si>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</si>
  <si>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</si>
  <si>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</si>
  <si>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</si>
  <si>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</si>
  <si>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</si>
  <si>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</si>
  <si>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</si>
  <si>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</si>
  <si>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</si>
  <si>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</si>
  <si>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</si>
  <si>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</si>
  <si>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</si>
  <si>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</si>
  <si>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</si>
  <si>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</si>
  <si>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</si>
  <si>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</si>
  <si>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</si>
  <si>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</si>
  <si>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Jei sutartis neterminuota, nuomos / panaudos termino įvesti nereikia</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</si>
  <si>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</si>
  <si>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</si>
  <si>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</si>
  <si>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</si>
  <si>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</si>
  <si>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</si>
  <si>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</si>
  <si>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</si>
  <si>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</si>
  <si>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</si>
  <si>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</si>
  <si>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</si>
  <si>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</si>
  <si>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</si>
  <si>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</si>
  <si>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</si>
  <si>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</si>
  <si>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</si>
  <si>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</si>
  <si>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</si>
  <si>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</si>
  <si>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</si>
  <si>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</si>
  <si>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</si>
  <si>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pajamos</t>
  </si>
  <si>
    <t>Prognozuojamu laikotarpiu gali būti planuojamos tik ilgalaikio turto perleidimo sąnaudos.</t>
  </si>
  <si>
    <t>Gauti ir panaudoti nario mokestis ir parama.</t>
  </si>
  <si>
    <t>Pagal turto pobūdį, priskirkite kitai materialaus turto grupei (6 skyrius)</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</si>
  <si>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</si>
  <si>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</si>
  <si>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</si>
  <si>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</si>
  <si>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</si>
  <si>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</si>
  <si>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</si>
  <si>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</si>
  <si>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</si>
  <si>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</si>
  <si>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</si>
  <si>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</si>
  <si>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</si>
  <si>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</si>
  <si>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</si>
  <si>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</si>
  <si>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</si>
  <si>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</si>
  <si>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</si>
  <si>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</si>
  <si>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</si>
  <si>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</si>
  <si>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Forma</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</si>
  <si>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</si>
  <si>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</si>
  <si>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</si>
  <si>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</si>
  <si>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</si>
  <si>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</si>
  <si>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</si>
  <si>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</si>
  <si>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</si>
  <si>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</si>
  <si>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</si>
  <si>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</si>
  <si>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</si>
  <si>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</si>
  <si>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</si>
  <si>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</si>
  <si>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</si>
  <si>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</si>
  <si>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</si>
  <si>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Teikiamas pagal Raseinių rajono vietos veiklos grupės „Raseinių krašto bendrija“  vietos plėtros strategijos priemonės „Ekonominės rajono plėtros skatinimas, kuriant naujus verslus rajone“ rūšį „Ne žemės ūkio verslo plėtra“ , Nr. RASE-LEADER-20VVG-02-02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</si>
</sst>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7"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s>
  <fills count="11">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1">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164" fontId="0" fillId="0" borderId="3" xfId="0" applyNumberFormat="1"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30" fillId="0" borderId="0" xfId="0" applyFont="1" applyAlignment="1">
      <alignment horizontal="right" vertical="center"/>
    </xf>
    <xf numFmtId="0" fontId="49" fillId="0" borderId="0" xfId="0" applyFont="1" applyAlignment="1">
      <alignment horizontal="left" vertical="center"/>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0" borderId="4" xfId="0" applyBorder="1"/>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30" fillId="0" borderId="0" xfId="0" applyFont="1" applyAlignment="1">
      <alignment horizontal="left" vertical="top" wrapText="1"/>
    </xf>
    <xf numFmtId="0" fontId="0" fillId="6" borderId="3" xfId="0" applyFill="1" applyBorder="1" applyAlignment="1">
      <alignment horizontal="left" vertical="center"/>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30" fillId="3" borderId="3" xfId="0" applyFont="1" applyFill="1" applyBorder="1" applyAlignment="1" applyProtection="1">
      <alignment horizontal="left" vertical="top" wrapText="1"/>
      <protection locked="0"/>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6" fillId="2" borderId="1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849</v>
      </c>
      <c r="D12" t="s">
        <v>850</v>
      </c>
      <c r="E12" t="s">
        <v>793</v>
      </c>
      <c r="H12" t="s">
        <v>92</v>
      </c>
    </row>
    <row r="13" spans="1:8" x14ac:dyDescent="0.25">
      <c r="A13" t="s">
        <v>850</v>
      </c>
      <c r="B13" t="s">
        <v>851</v>
      </c>
      <c r="D13" t="s">
        <v>0</v>
      </c>
      <c r="E13" t="s">
        <v>934</v>
      </c>
      <c r="G13" t="s">
        <v>93</v>
      </c>
      <c r="H13" t="s">
        <v>94</v>
      </c>
    </row>
    <row r="14" spans="1:8" x14ac:dyDescent="0.25">
      <c r="A14" t="s">
        <v>852</v>
      </c>
      <c r="B14" t="s">
        <v>853</v>
      </c>
      <c r="D14" t="s">
        <v>7</v>
      </c>
      <c r="E14" t="s">
        <v>794</v>
      </c>
      <c r="G14" t="s">
        <v>850</v>
      </c>
      <c r="H14" t="s">
        <v>95</v>
      </c>
    </row>
    <row r="15" spans="1:8" x14ac:dyDescent="0.25">
      <c r="A15" t="s">
        <v>854</v>
      </c>
      <c r="B15" t="s">
        <v>855</v>
      </c>
      <c r="D15" t="s">
        <v>247</v>
      </c>
      <c r="E15" t="s">
        <v>935</v>
      </c>
      <c r="G15" t="s">
        <v>0</v>
      </c>
      <c r="H15" t="s">
        <v>951</v>
      </c>
    </row>
    <row r="16" spans="1:8" x14ac:dyDescent="0.25">
      <c r="A16" t="s">
        <v>856</v>
      </c>
      <c r="B16" t="s">
        <v>857</v>
      </c>
      <c r="D16" t="s">
        <v>248</v>
      </c>
      <c r="E16" t="s">
        <v>795</v>
      </c>
      <c r="G16" t="s">
        <v>7</v>
      </c>
      <c r="H16" t="s">
        <v>952</v>
      </c>
    </row>
    <row r="17" spans="1:8" x14ac:dyDescent="0.25">
      <c r="A17" t="s">
        <v>858</v>
      </c>
      <c r="B17" t="s">
        <v>859</v>
      </c>
      <c r="D17" t="s">
        <v>8</v>
      </c>
      <c r="E17" t="s">
        <v>796</v>
      </c>
      <c r="G17" t="s">
        <v>8</v>
      </c>
      <c r="H17" t="s">
        <v>953</v>
      </c>
    </row>
    <row r="18" spans="1:8" x14ac:dyDescent="0.25">
      <c r="A18" t="s">
        <v>860</v>
      </c>
      <c r="B18" t="s">
        <v>861</v>
      </c>
      <c r="D18" t="s">
        <v>870</v>
      </c>
      <c r="E18" t="s">
        <v>797</v>
      </c>
      <c r="G18" t="s">
        <v>870</v>
      </c>
      <c r="H18" t="s">
        <v>97</v>
      </c>
    </row>
    <row r="19" spans="1:8" x14ac:dyDescent="0.25">
      <c r="A19" t="s">
        <v>862</v>
      </c>
      <c r="B19" t="s">
        <v>863</v>
      </c>
      <c r="D19" t="s">
        <v>0</v>
      </c>
      <c r="E19" t="s">
        <v>798</v>
      </c>
      <c r="G19" t="s">
        <v>0</v>
      </c>
      <c r="H19" t="s">
        <v>98</v>
      </c>
    </row>
    <row r="20" spans="1:8" x14ac:dyDescent="0.25">
      <c r="A20" t="s">
        <v>864</v>
      </c>
      <c r="B20" t="s">
        <v>865</v>
      </c>
      <c r="D20" t="s">
        <v>7</v>
      </c>
      <c r="E20" t="s">
        <v>799</v>
      </c>
      <c r="G20" t="s">
        <v>7</v>
      </c>
      <c r="H20" t="s">
        <v>39</v>
      </c>
    </row>
    <row r="21" spans="1:8" x14ac:dyDescent="0.25">
      <c r="A21" t="s">
        <v>866</v>
      </c>
      <c r="B21" t="s">
        <v>867</v>
      </c>
      <c r="D21" t="s">
        <v>8</v>
      </c>
      <c r="E21" t="s">
        <v>800</v>
      </c>
      <c r="G21" t="s">
        <v>8</v>
      </c>
      <c r="H21" t="s">
        <v>56</v>
      </c>
    </row>
    <row r="22" spans="1:8" x14ac:dyDescent="0.25">
      <c r="A22" t="s">
        <v>868</v>
      </c>
      <c r="B22" t="s">
        <v>869</v>
      </c>
      <c r="D22" t="s">
        <v>249</v>
      </c>
      <c r="E22" t="s">
        <v>801</v>
      </c>
      <c r="G22" t="s">
        <v>101</v>
      </c>
      <c r="H22" t="s">
        <v>40</v>
      </c>
    </row>
    <row r="23" spans="1:8" x14ac:dyDescent="0.25">
      <c r="A23" t="s">
        <v>870</v>
      </c>
      <c r="B23" t="s">
        <v>871</v>
      </c>
      <c r="D23" t="s">
        <v>344</v>
      </c>
      <c r="E23" t="s">
        <v>802</v>
      </c>
      <c r="G23" t="s">
        <v>9</v>
      </c>
      <c r="H23" t="s">
        <v>954</v>
      </c>
    </row>
    <row r="24" spans="1:8" x14ac:dyDescent="0.25">
      <c r="A24" t="s">
        <v>872</v>
      </c>
      <c r="B24" t="s">
        <v>873</v>
      </c>
      <c r="D24" t="s">
        <v>936</v>
      </c>
      <c r="E24" t="s">
        <v>803</v>
      </c>
      <c r="G24" t="s">
        <v>21</v>
      </c>
      <c r="H24" t="s">
        <v>807</v>
      </c>
    </row>
    <row r="25" spans="1:8" x14ac:dyDescent="0.25">
      <c r="A25" t="s">
        <v>874</v>
      </c>
      <c r="B25" t="s">
        <v>875</v>
      </c>
      <c r="D25" t="s">
        <v>937</v>
      </c>
      <c r="E25" t="s">
        <v>938</v>
      </c>
      <c r="G25" t="s">
        <v>34</v>
      </c>
      <c r="H25" t="s">
        <v>955</v>
      </c>
    </row>
    <row r="26" spans="1:8" x14ac:dyDescent="0.25">
      <c r="A26" t="s">
        <v>876</v>
      </c>
      <c r="B26" t="s">
        <v>877</v>
      </c>
      <c r="D26" t="s">
        <v>939</v>
      </c>
      <c r="E26" t="s">
        <v>940</v>
      </c>
      <c r="G26" t="s">
        <v>872</v>
      </c>
      <c r="H26" t="s">
        <v>100</v>
      </c>
    </row>
    <row r="27" spans="1:8" x14ac:dyDescent="0.25">
      <c r="A27" t="s">
        <v>878</v>
      </c>
      <c r="B27" t="s">
        <v>879</v>
      </c>
      <c r="D27" t="s">
        <v>941</v>
      </c>
      <c r="E27" t="s">
        <v>942</v>
      </c>
      <c r="G27" t="s">
        <v>0</v>
      </c>
      <c r="H27" s="410" t="s">
        <v>956</v>
      </c>
    </row>
    <row r="28" spans="1:8" x14ac:dyDescent="0.25">
      <c r="A28" t="s">
        <v>880</v>
      </c>
      <c r="B28" t="s">
        <v>881</v>
      </c>
      <c r="D28" t="s">
        <v>943</v>
      </c>
      <c r="E28" t="s">
        <v>944</v>
      </c>
      <c r="G28" t="s">
        <v>7</v>
      </c>
      <c r="H28" s="410" t="s">
        <v>957</v>
      </c>
    </row>
    <row r="29" spans="1:8" x14ac:dyDescent="0.25">
      <c r="A29" t="s">
        <v>882</v>
      </c>
      <c r="B29" t="s">
        <v>883</v>
      </c>
      <c r="D29" t="s">
        <v>945</v>
      </c>
      <c r="E29" t="s">
        <v>946</v>
      </c>
      <c r="G29" t="s">
        <v>104</v>
      </c>
      <c r="H29" t="s">
        <v>105</v>
      </c>
    </row>
    <row r="30" spans="1:8" x14ac:dyDescent="0.25">
      <c r="A30" t="s">
        <v>884</v>
      </c>
      <c r="B30" t="s">
        <v>885</v>
      </c>
      <c r="D30" t="s">
        <v>947</v>
      </c>
      <c r="E30" t="s">
        <v>948</v>
      </c>
      <c r="G30" t="s">
        <v>850</v>
      </c>
      <c r="H30" t="s">
        <v>958</v>
      </c>
    </row>
    <row r="31" spans="1:8" x14ac:dyDescent="0.25">
      <c r="A31" t="s">
        <v>886</v>
      </c>
      <c r="B31" t="s">
        <v>887</v>
      </c>
      <c r="D31" t="s">
        <v>949</v>
      </c>
      <c r="E31" t="s">
        <v>950</v>
      </c>
      <c r="G31" t="s">
        <v>0</v>
      </c>
      <c r="H31" t="s">
        <v>808</v>
      </c>
    </row>
    <row r="32" spans="1:8" x14ac:dyDescent="0.25">
      <c r="A32" t="s">
        <v>888</v>
      </c>
      <c r="B32" t="s">
        <v>889</v>
      </c>
      <c r="D32" t="s">
        <v>872</v>
      </c>
      <c r="E32" t="s">
        <v>804</v>
      </c>
      <c r="G32" t="s">
        <v>7</v>
      </c>
      <c r="H32" t="s">
        <v>809</v>
      </c>
    </row>
    <row r="33" spans="1:9" x14ac:dyDescent="0.25">
      <c r="A33" t="s">
        <v>890</v>
      </c>
      <c r="B33" t="s">
        <v>891</v>
      </c>
      <c r="D33" t="s">
        <v>898</v>
      </c>
      <c r="E33" t="s">
        <v>805</v>
      </c>
      <c r="G33" t="s">
        <v>8</v>
      </c>
      <c r="H33" t="s">
        <v>810</v>
      </c>
    </row>
    <row r="34" spans="1:9" x14ac:dyDescent="0.25">
      <c r="A34" t="s">
        <v>892</v>
      </c>
      <c r="B34" t="s">
        <v>893</v>
      </c>
      <c r="D34" t="s">
        <v>900</v>
      </c>
      <c r="E34" t="s">
        <v>806</v>
      </c>
      <c r="G34" t="s">
        <v>870</v>
      </c>
      <c r="H34" t="s">
        <v>959</v>
      </c>
    </row>
    <row r="35" spans="1:9" x14ac:dyDescent="0.25">
      <c r="A35" t="s">
        <v>104</v>
      </c>
      <c r="B35" t="s">
        <v>894</v>
      </c>
      <c r="G35" t="s">
        <v>0</v>
      </c>
      <c r="H35" t="s">
        <v>960</v>
      </c>
    </row>
    <row r="36" spans="1:9" x14ac:dyDescent="0.25">
      <c r="A36" t="s">
        <v>850</v>
      </c>
      <c r="B36" t="s">
        <v>895</v>
      </c>
      <c r="G36" t="s">
        <v>7</v>
      </c>
      <c r="H36" t="s">
        <v>113</v>
      </c>
    </row>
    <row r="37" spans="1:9" x14ac:dyDescent="0.25">
      <c r="A37" t="s">
        <v>870</v>
      </c>
      <c r="B37" t="s">
        <v>896</v>
      </c>
      <c r="G37" t="s">
        <v>872</v>
      </c>
      <c r="H37" t="s">
        <v>961</v>
      </c>
    </row>
    <row r="38" spans="1:9" x14ac:dyDescent="0.25">
      <c r="A38" t="s">
        <v>872</v>
      </c>
      <c r="B38" t="s">
        <v>897</v>
      </c>
      <c r="G38" t="s">
        <v>0</v>
      </c>
      <c r="H38" t="s">
        <v>962</v>
      </c>
    </row>
    <row r="39" spans="1:9" x14ac:dyDescent="0.25">
      <c r="A39" t="s">
        <v>898</v>
      </c>
      <c r="B39" t="s">
        <v>899</v>
      </c>
      <c r="G39" t="s">
        <v>7</v>
      </c>
      <c r="H39" t="s">
        <v>963</v>
      </c>
    </row>
    <row r="40" spans="1:9" x14ac:dyDescent="0.25">
      <c r="A40" t="s">
        <v>900</v>
      </c>
      <c r="B40" t="s">
        <v>901</v>
      </c>
      <c r="G40" t="s">
        <v>8</v>
      </c>
      <c r="H40" t="s">
        <v>964</v>
      </c>
    </row>
    <row r="41" spans="1:9" x14ac:dyDescent="0.25">
      <c r="A41" t="s">
        <v>902</v>
      </c>
      <c r="B41" t="s">
        <v>903</v>
      </c>
      <c r="G41" t="s">
        <v>898</v>
      </c>
      <c r="H41" t="s">
        <v>115</v>
      </c>
    </row>
    <row r="42" spans="1:9" x14ac:dyDescent="0.25">
      <c r="A42" t="s">
        <v>904</v>
      </c>
      <c r="B42" t="s">
        <v>905</v>
      </c>
      <c r="H42" t="s">
        <v>965</v>
      </c>
    </row>
    <row r="43" spans="1:9" x14ac:dyDescent="0.25">
      <c r="A43" t="s">
        <v>116</v>
      </c>
      <c r="B43" t="s">
        <v>906</v>
      </c>
    </row>
    <row r="44" spans="1:9" x14ac:dyDescent="0.25">
      <c r="A44" t="s">
        <v>850</v>
      </c>
      <c r="B44" t="s">
        <v>907</v>
      </c>
      <c r="H44" t="s">
        <v>119</v>
      </c>
    </row>
    <row r="45" spans="1:9" x14ac:dyDescent="0.25">
      <c r="A45" t="s">
        <v>870</v>
      </c>
      <c r="B45" t="s">
        <v>908</v>
      </c>
      <c r="G45" t="s">
        <v>116</v>
      </c>
      <c r="H45" t="s">
        <v>121</v>
      </c>
    </row>
    <row r="46" spans="1:9" x14ac:dyDescent="0.25">
      <c r="A46" t="s">
        <v>872</v>
      </c>
      <c r="B46" t="s">
        <v>909</v>
      </c>
      <c r="G46" t="s">
        <v>850</v>
      </c>
      <c r="H46" t="s">
        <v>122</v>
      </c>
      <c r="I46" t="s">
        <v>929</v>
      </c>
    </row>
    <row r="47" spans="1:9" x14ac:dyDescent="0.25">
      <c r="A47" t="s">
        <v>898</v>
      </c>
      <c r="B47" t="s">
        <v>910</v>
      </c>
      <c r="G47" t="s">
        <v>870</v>
      </c>
      <c r="H47" t="s">
        <v>127</v>
      </c>
      <c r="I47" t="s">
        <v>128</v>
      </c>
    </row>
    <row r="48" spans="1:9" x14ac:dyDescent="0.25">
      <c r="A48" t="s">
        <v>900</v>
      </c>
      <c r="B48" t="s">
        <v>911</v>
      </c>
      <c r="G48" t="s">
        <v>872</v>
      </c>
      <c r="H48" t="s">
        <v>932</v>
      </c>
      <c r="I48" t="s">
        <v>930</v>
      </c>
    </row>
    <row r="49" spans="1:9" x14ac:dyDescent="0.25">
      <c r="A49" t="s">
        <v>902</v>
      </c>
      <c r="B49" t="s">
        <v>912</v>
      </c>
      <c r="G49" t="s">
        <v>898</v>
      </c>
      <c r="H49" t="s">
        <v>966</v>
      </c>
      <c r="I49" t="s">
        <v>931</v>
      </c>
    </row>
    <row r="50" spans="1:9" x14ac:dyDescent="0.25">
      <c r="A50" t="s">
        <v>904</v>
      </c>
      <c r="B50" t="s">
        <v>913</v>
      </c>
      <c r="G50" t="s">
        <v>0</v>
      </c>
      <c r="H50" t="s">
        <v>811</v>
      </c>
    </row>
    <row r="51" spans="1:9" x14ac:dyDescent="0.25">
      <c r="A51" t="s">
        <v>120</v>
      </c>
      <c r="B51" t="s">
        <v>914</v>
      </c>
      <c r="G51" t="s">
        <v>7</v>
      </c>
      <c r="H51" t="s">
        <v>812</v>
      </c>
    </row>
    <row r="52" spans="1:9" x14ac:dyDescent="0.25">
      <c r="A52" t="s">
        <v>850</v>
      </c>
      <c r="B52" t="s">
        <v>915</v>
      </c>
      <c r="G52" t="s">
        <v>120</v>
      </c>
      <c r="H52" t="s">
        <v>813</v>
      </c>
    </row>
    <row r="53" spans="1:9" x14ac:dyDescent="0.25">
      <c r="A53" t="s">
        <v>870</v>
      </c>
      <c r="B53" t="s">
        <v>916</v>
      </c>
      <c r="G53" t="s">
        <v>0</v>
      </c>
      <c r="H53" t="s">
        <v>967</v>
      </c>
    </row>
    <row r="54" spans="1:9" x14ac:dyDescent="0.25">
      <c r="A54" t="s">
        <v>872</v>
      </c>
      <c r="B54" t="s">
        <v>917</v>
      </c>
      <c r="G54" t="s">
        <v>7</v>
      </c>
      <c r="H54" t="s">
        <v>814</v>
      </c>
    </row>
    <row r="55" spans="1:9" x14ac:dyDescent="0.25">
      <c r="G55" t="s">
        <v>247</v>
      </c>
      <c r="H55" t="s">
        <v>815</v>
      </c>
    </row>
    <row r="56" spans="1:9" x14ac:dyDescent="0.25">
      <c r="G56" t="s">
        <v>248</v>
      </c>
      <c r="H56" t="s">
        <v>816</v>
      </c>
    </row>
    <row r="57" spans="1:9" x14ac:dyDescent="0.25">
      <c r="G57" t="s">
        <v>8</v>
      </c>
      <c r="H57" t="s">
        <v>817</v>
      </c>
    </row>
    <row r="58" spans="1:9" x14ac:dyDescent="0.25">
      <c r="G58" t="s">
        <v>101</v>
      </c>
      <c r="H58" t="s">
        <v>818</v>
      </c>
    </row>
    <row r="59" spans="1:9" x14ac:dyDescent="0.25">
      <c r="G59" t="s">
        <v>132</v>
      </c>
      <c r="H59" t="s">
        <v>137</v>
      </c>
    </row>
    <row r="60" spans="1:9" x14ac:dyDescent="0.25">
      <c r="G60" t="s">
        <v>850</v>
      </c>
      <c r="H60" t="s">
        <v>819</v>
      </c>
    </row>
    <row r="61" spans="1:9" x14ac:dyDescent="0.25">
      <c r="G61" t="s">
        <v>0</v>
      </c>
      <c r="H61" t="s">
        <v>820</v>
      </c>
    </row>
    <row r="62" spans="1:9" x14ac:dyDescent="0.25">
      <c r="G62" t="s">
        <v>7</v>
      </c>
      <c r="H62" t="s">
        <v>821</v>
      </c>
    </row>
    <row r="63" spans="1:9" x14ac:dyDescent="0.25">
      <c r="G63" t="s">
        <v>870</v>
      </c>
      <c r="H63" t="s">
        <v>822</v>
      </c>
    </row>
    <row r="64" spans="1:9" x14ac:dyDescent="0.25">
      <c r="G64" t="s">
        <v>0</v>
      </c>
      <c r="H64" t="s">
        <v>842</v>
      </c>
    </row>
    <row r="65" spans="7:8" x14ac:dyDescent="0.25">
      <c r="G65" t="s">
        <v>7</v>
      </c>
      <c r="H65" t="s">
        <v>820</v>
      </c>
    </row>
    <row r="66" spans="7:8" x14ac:dyDescent="0.25">
      <c r="G66" t="s">
        <v>8</v>
      </c>
      <c r="H66" t="s">
        <v>142</v>
      </c>
    </row>
    <row r="67" spans="7:8" x14ac:dyDescent="0.25">
      <c r="G67" t="s">
        <v>101</v>
      </c>
      <c r="H67" t="s">
        <v>823</v>
      </c>
    </row>
    <row r="68" spans="7:8" x14ac:dyDescent="0.25">
      <c r="G68" t="s">
        <v>9</v>
      </c>
      <c r="H68" t="s">
        <v>146</v>
      </c>
    </row>
    <row r="69" spans="7:8" x14ac:dyDescent="0.25">
      <c r="G69" t="s">
        <v>21</v>
      </c>
      <c r="H69" t="s">
        <v>824</v>
      </c>
    </row>
    <row r="70" spans="7:8" x14ac:dyDescent="0.25">
      <c r="H70" t="s">
        <v>968</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130" zoomScaleNormal="130" workbookViewId="0">
      <selection activeCell="C12" sqref="C12"/>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1" t="s">
        <v>9</v>
      </c>
      <c r="B1" s="499" t="s">
        <v>442</v>
      </c>
      <c r="C1" s="499"/>
      <c r="D1" s="499"/>
      <c r="E1" s="202"/>
      <c r="F1" s="202"/>
      <c r="G1" s="42"/>
      <c r="H1" s="112" t="s">
        <v>296</v>
      </c>
      <c r="I1" s="119" t="s">
        <v>360</v>
      </c>
      <c r="J1" s="119" t="s">
        <v>359</v>
      </c>
      <c r="K1" s="119"/>
      <c r="L1" s="2"/>
      <c r="M1" s="2"/>
      <c r="N1" s="2"/>
      <c r="O1" s="2"/>
      <c r="P1" s="2"/>
    </row>
    <row r="2" spans="1:16" x14ac:dyDescent="0.25">
      <c r="H2" s="126"/>
      <c r="I2" s="116"/>
      <c r="J2" s="119"/>
      <c r="K2" s="119"/>
    </row>
    <row r="3" spans="1:16" s="7" customFormat="1" ht="14.25" x14ac:dyDescent="0.25">
      <c r="A3" s="203" t="s">
        <v>13</v>
      </c>
      <c r="B3" s="204" t="s">
        <v>438</v>
      </c>
      <c r="C3" s="205"/>
      <c r="D3" s="43"/>
      <c r="E3" s="43"/>
      <c r="F3" s="43"/>
      <c r="G3" s="43"/>
      <c r="H3" s="179"/>
      <c r="I3" s="115"/>
    </row>
    <row r="4" spans="1:16" ht="15.75" thickBot="1" x14ac:dyDescent="0.3">
      <c r="A4" s="344"/>
      <c r="B4" s="345" t="s">
        <v>343</v>
      </c>
      <c r="C4" s="345" t="s">
        <v>60</v>
      </c>
      <c r="D4" s="10"/>
      <c r="E4" s="10"/>
      <c r="F4" s="10"/>
      <c r="H4" s="113"/>
      <c r="I4" s="116"/>
    </row>
    <row r="5" spans="1:16" ht="15.75" thickTop="1" x14ac:dyDescent="0.25">
      <c r="A5" s="44" t="s">
        <v>700</v>
      </c>
      <c r="B5" s="342" t="s">
        <v>61</v>
      </c>
      <c r="C5" s="343">
        <f>SUMIFS(E:E,B:B,B5)</f>
        <v>0</v>
      </c>
      <c r="H5" s="113"/>
      <c r="I5" s="116"/>
    </row>
    <row r="6" spans="1:16" x14ac:dyDescent="0.25">
      <c r="A6" s="45" t="s">
        <v>701</v>
      </c>
      <c r="B6" s="106" t="s">
        <v>62</v>
      </c>
      <c r="C6" s="107">
        <f>SUMIFS(E:E,B:B,B6)</f>
        <v>0</v>
      </c>
      <c r="D6" s="10"/>
      <c r="E6" s="10"/>
      <c r="F6" s="10"/>
      <c r="H6" s="114"/>
      <c r="I6" s="116"/>
    </row>
    <row r="7" spans="1:16" x14ac:dyDescent="0.25">
      <c r="A7" s="45" t="s">
        <v>702</v>
      </c>
      <c r="B7" s="106" t="s">
        <v>63</v>
      </c>
      <c r="C7" s="107">
        <f>SUMIFS(E:E,B:B,B7)</f>
        <v>0</v>
      </c>
      <c r="D7" s="10"/>
      <c r="E7" s="10"/>
      <c r="F7" s="10"/>
      <c r="H7" s="114"/>
      <c r="I7" s="116"/>
      <c r="K7" s="10"/>
    </row>
    <row r="8" spans="1:16" x14ac:dyDescent="0.25">
      <c r="A8" s="45" t="s">
        <v>703</v>
      </c>
      <c r="B8" s="106" t="s">
        <v>64</v>
      </c>
      <c r="C8" s="107">
        <f>SUMIFS(E:E,B:B,B8)</f>
        <v>0</v>
      </c>
      <c r="D8" s="10"/>
      <c r="E8" s="10"/>
      <c r="F8" s="10"/>
      <c r="H8" s="114"/>
      <c r="I8" s="116"/>
      <c r="K8" s="10"/>
    </row>
    <row r="9" spans="1:16" x14ac:dyDescent="0.25">
      <c r="A9" s="45" t="s">
        <v>704</v>
      </c>
      <c r="B9" s="366" t="s">
        <v>37</v>
      </c>
      <c r="C9" s="367">
        <f>SUM(C5:C8)</f>
        <v>0</v>
      </c>
      <c r="D9" s="10"/>
      <c r="E9" s="10"/>
      <c r="F9" s="10"/>
      <c r="H9" s="114"/>
      <c r="I9" s="116"/>
      <c r="K9" s="10"/>
    </row>
    <row r="10" spans="1:16" x14ac:dyDescent="0.25">
      <c r="A10" s="45" t="s">
        <v>705</v>
      </c>
      <c r="B10" s="106" t="s">
        <v>65</v>
      </c>
      <c r="C10" s="108">
        <f>E19</f>
        <v>0</v>
      </c>
      <c r="D10" s="10"/>
      <c r="E10" s="10"/>
      <c r="F10" s="10"/>
      <c r="H10" s="114"/>
      <c r="I10" s="116"/>
      <c r="K10" s="10"/>
    </row>
    <row r="11" spans="1:16" x14ac:dyDescent="0.25">
      <c r="A11" s="45" t="s">
        <v>706</v>
      </c>
      <c r="B11" s="106" t="s">
        <v>353</v>
      </c>
      <c r="C11" s="377"/>
      <c r="D11" s="177">
        <f>F19</f>
        <v>0</v>
      </c>
      <c r="E11" s="106" t="s">
        <v>414</v>
      </c>
      <c r="F11" s="10"/>
      <c r="H11" s="126" t="s">
        <v>352</v>
      </c>
      <c r="I11" s="116"/>
    </row>
    <row r="12" spans="1:16" x14ac:dyDescent="0.25">
      <c r="A12" s="45" t="s">
        <v>707</v>
      </c>
      <c r="B12" s="106" t="s">
        <v>342</v>
      </c>
      <c r="C12" s="386"/>
      <c r="D12" s="109"/>
      <c r="F12" s="10"/>
      <c r="H12" s="180" t="str">
        <f>IF(OR(C12=Konstantos!$A$84,'5'!C12=""),"Pasirinkite paramos išmokėjimo būdą","ok")</f>
        <v>Pasirinkite paramos išmokėjimo būdą</v>
      </c>
      <c r="I12" s="116"/>
    </row>
    <row r="13" spans="1:16" x14ac:dyDescent="0.25">
      <c r="A13" s="45" t="s">
        <v>708</v>
      </c>
      <c r="B13" s="106" t="str">
        <f>IFERROR(IF(SEARCH("*avans*",C12)=1, "Prašomo išmokėti avanso dalis, proc.",""),"")</f>
        <v/>
      </c>
      <c r="C13" s="388"/>
      <c r="F13" s="10"/>
      <c r="H13" s="18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6"/>
    </row>
    <row r="14" spans="1:16" x14ac:dyDescent="0.25">
      <c r="A14" s="45" t="s">
        <v>709</v>
      </c>
      <c r="B14" s="106" t="str">
        <f>IFERROR(IF(SEARCH("*avans*",C12)=1, "Paramos išmokėjimas avansu, Eur",""),"")</f>
        <v/>
      </c>
      <c r="C14" s="118">
        <f>IF(B14&lt;&gt;"",C13*C11,0)</f>
        <v>0</v>
      </c>
      <c r="D14" s="109"/>
      <c r="F14" s="10"/>
      <c r="H14" s="126"/>
      <c r="I14" s="117"/>
    </row>
    <row r="15" spans="1:16" x14ac:dyDescent="0.25">
      <c r="A15" s="45" t="s">
        <v>710</v>
      </c>
      <c r="B15" s="106" t="str">
        <f>IFERROR(IF(SEARCH("*avans*",C12)=1, "Planuojama avanso išmokėjimo data",""),"")</f>
        <v/>
      </c>
      <c r="C15" s="378"/>
      <c r="D15" s="109"/>
      <c r="F15" s="10"/>
      <c r="H15" s="180" t="str">
        <f>IF(AND(B15="",C15&lt;&gt;0),"Ištrinkite datą",IF(AND(B15&lt;&gt;"",C15=0),"Įveskite datą","ok"))</f>
        <v>ok</v>
      </c>
      <c r="I15" s="116"/>
    </row>
    <row r="16" spans="1:16" x14ac:dyDescent="0.25">
      <c r="H16" s="126"/>
      <c r="I16" s="116"/>
    </row>
    <row r="17" spans="1:11" x14ac:dyDescent="0.25">
      <c r="A17" s="354" t="s">
        <v>16</v>
      </c>
      <c r="B17" s="500" t="s">
        <v>66</v>
      </c>
      <c r="C17" s="500"/>
      <c r="D17" s="500"/>
      <c r="E17" s="500"/>
      <c r="F17" s="500"/>
      <c r="H17" s="126"/>
      <c r="I17" s="116"/>
    </row>
    <row r="18" spans="1:11" ht="30.75" thickBot="1" x14ac:dyDescent="0.3">
      <c r="A18" s="360"/>
      <c r="B18" s="206" t="s">
        <v>67</v>
      </c>
      <c r="C18" s="206" t="s">
        <v>441</v>
      </c>
      <c r="D18" s="206" t="s">
        <v>68</v>
      </c>
      <c r="E18" s="206" t="s">
        <v>69</v>
      </c>
      <c r="F18" s="206" t="s">
        <v>41</v>
      </c>
      <c r="H18" s="126"/>
      <c r="I18" s="116"/>
    </row>
    <row r="19" spans="1:11" ht="16.5" thickTop="1" thickBot="1" x14ac:dyDescent="0.3">
      <c r="A19" s="361"/>
      <c r="B19" s="368" t="s">
        <v>70</v>
      </c>
      <c r="C19" s="355"/>
      <c r="D19" s="356">
        <f>SUMIFS(D:D,$B:$B,"Iš viso investicijų*")</f>
        <v>0</v>
      </c>
      <c r="E19" s="356">
        <f>SUMIFS(E:E,$B:$B,"Iš viso investicijų*")</f>
        <v>0</v>
      </c>
      <c r="F19" s="356">
        <f>SUMIFS(F:F,$B:$B,"Paramos išmokėjimas*")+$C$14</f>
        <v>0</v>
      </c>
      <c r="H19" s="376" t="s">
        <v>595</v>
      </c>
      <c r="I19" s="116"/>
    </row>
    <row r="20" spans="1:11" ht="15.75" thickTop="1" x14ac:dyDescent="0.25">
      <c r="A20" s="362" t="s">
        <v>461</v>
      </c>
      <c r="B20" s="351" t="s">
        <v>42</v>
      </c>
      <c r="C20" s="352"/>
      <c r="D20" s="353"/>
      <c r="E20" s="353"/>
      <c r="F20" s="353"/>
      <c r="H20" s="126" t="str">
        <f>IF(AND(C20="",D26&lt;&gt;0),"Klaida! Įveskite etapo paramos išmokėjimo prašymo pateikimo datą","ok")</f>
        <v>ok</v>
      </c>
      <c r="I20" s="116"/>
    </row>
    <row r="21" spans="1:11" x14ac:dyDescent="0.25">
      <c r="A21" s="363" t="s">
        <v>462</v>
      </c>
      <c r="B21" s="497"/>
      <c r="C21" s="498"/>
      <c r="D21" s="178"/>
      <c r="E21" s="178"/>
      <c r="F21" s="178"/>
      <c r="H21" s="126"/>
      <c r="I21" s="116"/>
    </row>
    <row r="22" spans="1:11" x14ac:dyDescent="0.25">
      <c r="A22" s="363" t="s">
        <v>463</v>
      </c>
      <c r="B22" s="497"/>
      <c r="C22" s="498"/>
      <c r="D22" s="178"/>
      <c r="E22" s="178"/>
      <c r="F22" s="178"/>
      <c r="H22" s="126"/>
      <c r="I22" s="116"/>
    </row>
    <row r="23" spans="1:11" x14ac:dyDescent="0.25">
      <c r="A23" s="363" t="s">
        <v>464</v>
      </c>
      <c r="B23" s="497"/>
      <c r="C23" s="498"/>
      <c r="D23" s="178"/>
      <c r="E23" s="178"/>
      <c r="F23" s="178"/>
      <c r="H23" s="126"/>
      <c r="I23" s="116"/>
    </row>
    <row r="24" spans="1:11" x14ac:dyDescent="0.25">
      <c r="A24" s="363" t="s">
        <v>465</v>
      </c>
      <c r="B24" s="497"/>
      <c r="C24" s="498"/>
      <c r="D24" s="178"/>
      <c r="E24" s="178"/>
      <c r="F24" s="178"/>
      <c r="H24" s="126"/>
      <c r="I24" s="116"/>
    </row>
    <row r="25" spans="1:11" x14ac:dyDescent="0.25">
      <c r="A25" s="363" t="s">
        <v>466</v>
      </c>
      <c r="B25" s="497"/>
      <c r="C25" s="498"/>
      <c r="D25" s="178"/>
      <c r="E25" s="178"/>
      <c r="F25" s="178"/>
      <c r="H25" s="126"/>
      <c r="I25" s="116"/>
    </row>
    <row r="26" spans="1:11" x14ac:dyDescent="0.25">
      <c r="A26" s="364"/>
      <c r="B26" s="207" t="s">
        <v>596</v>
      </c>
      <c r="C26" s="270" t="str">
        <f>IF(C20="","-",C20)</f>
        <v>-</v>
      </c>
      <c r="D26" s="278">
        <f>SUM(D21:D25)</f>
        <v>0</v>
      </c>
      <c r="E26" s="278">
        <f>SUM(E21:E25)</f>
        <v>0</v>
      </c>
      <c r="F26" s="365"/>
      <c r="H26" s="126"/>
      <c r="I26" s="116"/>
    </row>
    <row r="27" spans="1:11" ht="24" x14ac:dyDescent="0.25">
      <c r="A27" s="364"/>
      <c r="B27" s="208" t="s">
        <v>355</v>
      </c>
      <c r="C27" s="270" t="str">
        <f>IF(C20="","-",EOMONTH(C20,Parametrai!$C$17))</f>
        <v>-</v>
      </c>
      <c r="D27" s="209"/>
      <c r="E27" s="209"/>
      <c r="F27" s="278">
        <f>IF($C$14+SUMIFS($F$17:$F19,$B$17:$B19,"Paramos išmokėjimas*")+SUM(F21:F25)&lt;$C$11,SUM(F21:F25),IF($C$14+SUMIFS($F$17:$F19,$B$17:$B19,"Paramos išmokėjimas*")&lt;=$C$11,$C$11-$C$14-SUMIFS($F$17:$F19,$B$17:$B19,"Paramos išmokėjimas*"),0))</f>
        <v>0</v>
      </c>
      <c r="H27" s="126"/>
      <c r="I27" s="117" t="b">
        <f>OR(SUM(F21:F25)&gt;0)</f>
        <v>0</v>
      </c>
    </row>
    <row r="28" spans="1:11" x14ac:dyDescent="0.25">
      <c r="A28" s="364"/>
      <c r="B28" s="210" t="s">
        <v>439</v>
      </c>
      <c r="C28" s="211"/>
      <c r="D28" s="209"/>
      <c r="E28" s="209"/>
      <c r="F28" s="209"/>
      <c r="H28" s="126"/>
      <c r="I28" s="116"/>
    </row>
    <row r="29" spans="1:11" x14ac:dyDescent="0.25">
      <c r="A29" s="363" t="s">
        <v>467</v>
      </c>
      <c r="B29" s="212" t="s">
        <v>61</v>
      </c>
      <c r="C29" s="209"/>
      <c r="D29" s="209"/>
      <c r="E29" s="178"/>
      <c r="F29" s="209"/>
      <c r="H29" s="126"/>
      <c r="I29" s="116"/>
    </row>
    <row r="30" spans="1:11" x14ac:dyDescent="0.25">
      <c r="A30" s="363" t="s">
        <v>468</v>
      </c>
      <c r="B30" s="212" t="s">
        <v>62</v>
      </c>
      <c r="C30" s="209"/>
      <c r="D30" s="209"/>
      <c r="E30" s="178"/>
      <c r="F30" s="209"/>
      <c r="H30" s="279"/>
      <c r="I30" s="116"/>
    </row>
    <row r="31" spans="1:11" x14ac:dyDescent="0.25">
      <c r="A31" s="363" t="s">
        <v>469</v>
      </c>
      <c r="B31" s="212" t="s">
        <v>63</v>
      </c>
      <c r="C31" s="209"/>
      <c r="D31" s="209"/>
      <c r="E31" s="178"/>
      <c r="F31" s="209"/>
      <c r="H31" s="126"/>
      <c r="I31" s="116"/>
    </row>
    <row r="32" spans="1:11" x14ac:dyDescent="0.25">
      <c r="A32" s="363" t="s">
        <v>470</v>
      </c>
      <c r="B32" s="212" t="s">
        <v>64</v>
      </c>
      <c r="C32" s="209"/>
      <c r="D32" s="209"/>
      <c r="E32" s="178"/>
      <c r="F32" s="209"/>
      <c r="H32" s="126"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117"/>
      <c r="J32" s="117" t="str">
        <f>IF(
    OR(
        $C$12 =
            Konstantos!$A$85,
        $C$12 = Konstantos!$A$87
    ),
    SUMIFS(
        $F$1:$F19,
        $B$1:$B19, "Paramos išmokėjimas*"
    ) + $C$14 -
        SUMIFS(
            $E$1:$E32,
            $B$1:$B32, "Paramos lėšos"
        ),
    IF(
        $C$12 =
            Konstantos!$A$86,
        $F27,
        "-"
    )
)</f>
        <v>-</v>
      </c>
      <c r="K32" s="120"/>
    </row>
    <row r="33" spans="1:11" ht="15.75" thickBot="1" x14ac:dyDescent="0.3">
      <c r="A33" s="360"/>
      <c r="B33" s="357" t="s">
        <v>71</v>
      </c>
      <c r="C33" s="358"/>
      <c r="D33" s="358"/>
      <c r="E33" s="359">
        <f>SUM(E29:E32)</f>
        <v>0</v>
      </c>
      <c r="F33" s="358"/>
      <c r="H33" s="126"/>
      <c r="I33" s="116"/>
    </row>
    <row r="34" spans="1:11" ht="15.75" thickTop="1" x14ac:dyDescent="0.25">
      <c r="A34" s="362" t="s">
        <v>471</v>
      </c>
      <c r="B34" s="351" t="s">
        <v>43</v>
      </c>
      <c r="C34" s="352"/>
      <c r="D34" s="353"/>
      <c r="E34" s="353"/>
      <c r="F34" s="353"/>
      <c r="H34" s="126" t="str">
        <f>IF(AND(C34="",D40&lt;&gt;0),"Klaida! Įveskite etapo paramos išmokėjimo prašymo pateikimo datą","ok")</f>
        <v>ok</v>
      </c>
      <c r="I34" s="116"/>
    </row>
    <row r="35" spans="1:11" x14ac:dyDescent="0.25">
      <c r="A35" s="363" t="s">
        <v>472</v>
      </c>
      <c r="B35" s="497"/>
      <c r="C35" s="498"/>
      <c r="D35" s="178"/>
      <c r="E35" s="178"/>
      <c r="F35" s="178"/>
      <c r="H35" s="126"/>
      <c r="I35" s="116"/>
    </row>
    <row r="36" spans="1:11" x14ac:dyDescent="0.25">
      <c r="A36" s="363" t="s">
        <v>473</v>
      </c>
      <c r="B36" s="497"/>
      <c r="C36" s="498"/>
      <c r="D36" s="178"/>
      <c r="E36" s="178"/>
      <c r="F36" s="178"/>
      <c r="H36" s="126"/>
      <c r="I36" s="116"/>
    </row>
    <row r="37" spans="1:11" x14ac:dyDescent="0.25">
      <c r="A37" s="363" t="s">
        <v>474</v>
      </c>
      <c r="B37" s="497"/>
      <c r="C37" s="498"/>
      <c r="D37" s="178"/>
      <c r="E37" s="178"/>
      <c r="F37" s="178"/>
      <c r="H37" s="126"/>
      <c r="I37" s="116"/>
    </row>
    <row r="38" spans="1:11" x14ac:dyDescent="0.25">
      <c r="A38" s="363" t="s">
        <v>475</v>
      </c>
      <c r="B38" s="497"/>
      <c r="C38" s="498"/>
      <c r="D38" s="178"/>
      <c r="E38" s="178"/>
      <c r="F38" s="178"/>
      <c r="H38" s="126"/>
      <c r="I38" s="116"/>
    </row>
    <row r="39" spans="1:11" x14ac:dyDescent="0.25">
      <c r="A39" s="363" t="s">
        <v>476</v>
      </c>
      <c r="B39" s="497"/>
      <c r="C39" s="498"/>
      <c r="D39" s="178"/>
      <c r="E39" s="178"/>
      <c r="F39" s="178"/>
      <c r="H39" s="126"/>
      <c r="I39" s="116"/>
    </row>
    <row r="40" spans="1:11" x14ac:dyDescent="0.25">
      <c r="A40" s="364"/>
      <c r="B40" s="207" t="s">
        <v>596</v>
      </c>
      <c r="C40" s="270" t="str">
        <f>IF(C34="","-",C34)</f>
        <v>-</v>
      </c>
      <c r="D40" s="278">
        <f>SUM(D35:D39)</f>
        <v>0</v>
      </c>
      <c r="E40" s="278">
        <f>SUM(E35:E39)</f>
        <v>0</v>
      </c>
      <c r="F40" s="365"/>
      <c r="H40" s="126"/>
      <c r="I40" s="116"/>
    </row>
    <row r="41" spans="1:11" ht="24" x14ac:dyDescent="0.25">
      <c r="A41" s="364"/>
      <c r="B41" s="208" t="s">
        <v>356</v>
      </c>
      <c r="C41" s="270" t="str">
        <f>IF(C34="","-",EOMONTH(C34,Parametrai!$C$17))</f>
        <v>-</v>
      </c>
      <c r="D41" s="209"/>
      <c r="E41" s="209"/>
      <c r="F41" s="278">
        <f>IF($C$14+SUMIFS($F$17:$F33,$B$17:$B33,"Paramos išmokėjimas*")+SUM(F35:F39)&lt;$C$11,SUM(F35:F39),IF($C$14+SUMIFS($F$17:$F33,$B$17:$B33,"Paramos išmokėjimas*")&lt;=$C$11,$C$11-$C$14-SUMIFS($F$17:$F33,$B$17:$B33,"Paramos išmokėjimas*"),0))</f>
        <v>0</v>
      </c>
      <c r="H41" s="126"/>
      <c r="I41" s="117" t="b">
        <f>OR(SUM(F35:F39)&gt;0)</f>
        <v>0</v>
      </c>
      <c r="J41" s="117"/>
    </row>
    <row r="42" spans="1:11" x14ac:dyDescent="0.25">
      <c r="A42" s="364"/>
      <c r="B42" s="210" t="s">
        <v>439</v>
      </c>
      <c r="C42" s="209"/>
      <c r="D42" s="209"/>
      <c r="E42" s="209"/>
      <c r="F42" s="209"/>
      <c r="H42" s="126"/>
      <c r="I42" s="116"/>
    </row>
    <row r="43" spans="1:11" x14ac:dyDescent="0.25">
      <c r="A43" s="363" t="s">
        <v>477</v>
      </c>
      <c r="B43" s="212" t="s">
        <v>61</v>
      </c>
      <c r="C43" s="209"/>
      <c r="D43" s="209"/>
      <c r="E43" s="178"/>
      <c r="F43" s="209"/>
      <c r="H43" s="126"/>
      <c r="I43" s="116"/>
    </row>
    <row r="44" spans="1:11" x14ac:dyDescent="0.25">
      <c r="A44" s="363" t="s">
        <v>478</v>
      </c>
      <c r="B44" s="212" t="s">
        <v>62</v>
      </c>
      <c r="C44" s="209"/>
      <c r="D44" s="209"/>
      <c r="E44" s="178"/>
      <c r="F44" s="209"/>
      <c r="H44" s="126"/>
      <c r="I44" s="116"/>
    </row>
    <row r="45" spans="1:11" x14ac:dyDescent="0.25">
      <c r="A45" s="363" t="s">
        <v>479</v>
      </c>
      <c r="B45" s="212" t="s">
        <v>63</v>
      </c>
      <c r="C45" s="209"/>
      <c r="D45" s="209"/>
      <c r="E45" s="178"/>
      <c r="F45" s="209"/>
      <c r="H45" s="126"/>
      <c r="I45" s="116"/>
    </row>
    <row r="46" spans="1:11" x14ac:dyDescent="0.25">
      <c r="A46" s="363" t="s">
        <v>480</v>
      </c>
      <c r="B46" s="212" t="s">
        <v>64</v>
      </c>
      <c r="C46" s="209"/>
      <c r="D46" s="209"/>
      <c r="E46" s="178"/>
      <c r="F46" s="209"/>
      <c r="H46" s="126"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117"/>
      <c r="J46" s="117" t="str">
        <f>IF(
    OR(
        $C$12 =
            Konstantos!$A$85,
        $C$12 = Konstantos!$A$87
    ),
    SUMIFS(
        $F$1:$F33,
        $B$1:$B33, "Paramos išmokėjimas*"
    ) + $C$14 -
        SUMIFS(
            $E$1:$E46,
            $B$1:$B46, "Paramos lėšos"
        ),
    IF(
        $C$12 =
            Konstantos!$A$86,
        $F41,
        "-"
    )
)</f>
        <v>-</v>
      </c>
      <c r="K46" s="120"/>
    </row>
    <row r="47" spans="1:11" ht="15.75" thickBot="1" x14ac:dyDescent="0.3">
      <c r="A47" s="360"/>
      <c r="B47" s="357" t="s">
        <v>71</v>
      </c>
      <c r="C47" s="358"/>
      <c r="D47" s="358"/>
      <c r="E47" s="359">
        <f>SUM(E43:E46)</f>
        <v>0</v>
      </c>
      <c r="F47" s="358"/>
      <c r="H47" s="126"/>
      <c r="I47" s="116"/>
    </row>
    <row r="48" spans="1:11" ht="15.75" thickTop="1" x14ac:dyDescent="0.25">
      <c r="A48" s="362" t="s">
        <v>481</v>
      </c>
      <c r="B48" s="353" t="s">
        <v>72</v>
      </c>
      <c r="C48" s="352"/>
      <c r="D48" s="353"/>
      <c r="E48" s="353"/>
      <c r="F48" s="353"/>
      <c r="H48" s="126" t="str">
        <f>IF(AND(C48="",D54&lt;&gt;0),"Klaida! Įveskite etapo paramos išmokėjimo prašymo pateikimo datą","ok")</f>
        <v>ok</v>
      </c>
      <c r="I48" s="116"/>
    </row>
    <row r="49" spans="1:11" x14ac:dyDescent="0.25">
      <c r="A49" s="363" t="s">
        <v>482</v>
      </c>
      <c r="B49" s="497"/>
      <c r="C49" s="498"/>
      <c r="D49" s="178"/>
      <c r="E49" s="178"/>
      <c r="F49" s="178"/>
      <c r="H49" s="126"/>
      <c r="I49" s="116"/>
    </row>
    <row r="50" spans="1:11" x14ac:dyDescent="0.25">
      <c r="A50" s="363" t="s">
        <v>483</v>
      </c>
      <c r="B50" s="497"/>
      <c r="C50" s="498"/>
      <c r="D50" s="178"/>
      <c r="E50" s="178"/>
      <c r="F50" s="178"/>
      <c r="H50" s="126"/>
      <c r="I50" s="116"/>
    </row>
    <row r="51" spans="1:11" x14ac:dyDescent="0.25">
      <c r="A51" s="363" t="s">
        <v>484</v>
      </c>
      <c r="B51" s="497"/>
      <c r="C51" s="498"/>
      <c r="D51" s="178"/>
      <c r="E51" s="178"/>
      <c r="F51" s="178"/>
      <c r="H51" s="126"/>
      <c r="I51" s="116"/>
    </row>
    <row r="52" spans="1:11" x14ac:dyDescent="0.25">
      <c r="A52" s="363" t="s">
        <v>485</v>
      </c>
      <c r="B52" s="497"/>
      <c r="C52" s="498"/>
      <c r="D52" s="178"/>
      <c r="E52" s="178"/>
      <c r="F52" s="178"/>
      <c r="H52" s="126"/>
      <c r="I52" s="116"/>
    </row>
    <row r="53" spans="1:11" x14ac:dyDescent="0.25">
      <c r="A53" s="363" t="s">
        <v>486</v>
      </c>
      <c r="B53" s="497"/>
      <c r="C53" s="498"/>
      <c r="D53" s="178"/>
      <c r="E53" s="178"/>
      <c r="F53" s="178"/>
      <c r="H53" s="126"/>
      <c r="I53" s="116"/>
    </row>
    <row r="54" spans="1:11" x14ac:dyDescent="0.25">
      <c r="A54" s="364"/>
      <c r="B54" s="207" t="s">
        <v>596</v>
      </c>
      <c r="C54" s="270" t="str">
        <f>IF(C48="","-",C48)</f>
        <v>-</v>
      </c>
      <c r="D54" s="278">
        <f>SUM(D49:D53)</f>
        <v>0</v>
      </c>
      <c r="E54" s="278">
        <f>SUM(E49:E53)</f>
        <v>0</v>
      </c>
      <c r="F54" s="365"/>
      <c r="H54" s="126"/>
      <c r="I54" s="116"/>
    </row>
    <row r="55" spans="1:11" ht="24" x14ac:dyDescent="0.25">
      <c r="A55" s="364"/>
      <c r="B55" s="208" t="s">
        <v>357</v>
      </c>
      <c r="C55" s="270" t="str">
        <f>IF(C48="","-",EOMONTH(C48,Parametrai!$C$17))</f>
        <v>-</v>
      </c>
      <c r="D55" s="209"/>
      <c r="E55" s="209"/>
      <c r="F55" s="278">
        <f>IF($C$14+SUMIFS($F$17:$F47,$B$17:$B47,"Paramos išmokėjimas*")+SUM(F49:F53)&lt;$C$11,SUM(F49:F53),IF($C$14+SUMIFS($F$17:$F47,$B$17:$B47,"Paramos išmokėjimas*")&lt;=$C$11,$C$11-$C$14-SUMIFS($F$17:$F47,$B$17:$B47,"Paramos išmokėjimas*"),0))</f>
        <v>0</v>
      </c>
      <c r="H55" s="126"/>
      <c r="I55" s="117" t="b">
        <f>OR(SUM(F49:F53)&gt;0)</f>
        <v>0</v>
      </c>
      <c r="J55" s="117"/>
    </row>
    <row r="56" spans="1:11" x14ac:dyDescent="0.25">
      <c r="A56" s="364"/>
      <c r="B56" s="210" t="s">
        <v>439</v>
      </c>
      <c r="C56" s="209"/>
      <c r="D56" s="209"/>
      <c r="E56" s="209"/>
      <c r="F56" s="209"/>
      <c r="H56" s="126"/>
      <c r="I56" s="116"/>
    </row>
    <row r="57" spans="1:11" x14ac:dyDescent="0.25">
      <c r="A57" s="363" t="s">
        <v>499</v>
      </c>
      <c r="B57" s="212" t="s">
        <v>61</v>
      </c>
      <c r="C57" s="209"/>
      <c r="D57" s="209"/>
      <c r="E57" s="178"/>
      <c r="F57" s="209"/>
      <c r="H57" s="126"/>
      <c r="I57" s="116"/>
    </row>
    <row r="58" spans="1:11" x14ac:dyDescent="0.25">
      <c r="A58" s="363" t="s">
        <v>500</v>
      </c>
      <c r="B58" s="212" t="s">
        <v>62</v>
      </c>
      <c r="C58" s="209"/>
      <c r="D58" s="209"/>
      <c r="E58" s="178"/>
      <c r="F58" s="209"/>
      <c r="H58" s="126"/>
      <c r="I58" s="116"/>
    </row>
    <row r="59" spans="1:11" x14ac:dyDescent="0.25">
      <c r="A59" s="363" t="s">
        <v>501</v>
      </c>
      <c r="B59" s="212" t="s">
        <v>63</v>
      </c>
      <c r="C59" s="209"/>
      <c r="D59" s="209"/>
      <c r="E59" s="178"/>
      <c r="F59" s="209"/>
      <c r="H59" s="126"/>
      <c r="I59" s="116"/>
    </row>
    <row r="60" spans="1:11" x14ac:dyDescent="0.25">
      <c r="A60" s="363" t="s">
        <v>502</v>
      </c>
      <c r="B60" s="212" t="s">
        <v>64</v>
      </c>
      <c r="C60" s="209"/>
      <c r="D60" s="209"/>
      <c r="E60" s="178"/>
      <c r="F60" s="209"/>
      <c r="H60" s="126"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117"/>
      <c r="J60" s="117" t="str">
        <f>IF(
    OR(
        $C$12 =
            Konstantos!$A$85,
        $C$12 = Konstantos!$A$87
    ),
    SUMIFS(
        $F$1:$F47,
        $B$1:$B47, "Paramos išmokėjimas*"
    ) + $C$14 -
        SUMIFS(
            $E$1:$E60,
            $B$1:$B60, "Paramos lėšos"
        ),
    IF(
        $C$12 =
            Konstantos!$A$86,
        $F55,
        "-"
    )
)</f>
        <v>-</v>
      </c>
      <c r="K60" s="120"/>
    </row>
    <row r="61" spans="1:11" ht="15.75" thickBot="1" x14ac:dyDescent="0.3">
      <c r="A61" s="360"/>
      <c r="B61" s="357" t="s">
        <v>71</v>
      </c>
      <c r="C61" s="358"/>
      <c r="D61" s="358"/>
      <c r="E61" s="359">
        <f>SUM(E57:E60)</f>
        <v>0</v>
      </c>
      <c r="F61" s="358"/>
      <c r="H61" s="126"/>
      <c r="I61" s="116"/>
    </row>
    <row r="62" spans="1:11" ht="15.75" thickTop="1" x14ac:dyDescent="0.25">
      <c r="A62" s="362" t="s">
        <v>487</v>
      </c>
      <c r="B62" s="353" t="s">
        <v>73</v>
      </c>
      <c r="C62" s="352"/>
      <c r="D62" s="353"/>
      <c r="E62" s="353"/>
      <c r="F62" s="353"/>
      <c r="H62" s="126" t="str">
        <f>IF(AND(C62="",D68&lt;&gt;0),"Klaida! Įveskite etapo paramos išmokėjimo prašymo pateikimo datą","ok")</f>
        <v>ok</v>
      </c>
      <c r="I62" s="116"/>
    </row>
    <row r="63" spans="1:11" x14ac:dyDescent="0.25">
      <c r="A63" s="363" t="s">
        <v>488</v>
      </c>
      <c r="B63" s="497"/>
      <c r="C63" s="498"/>
      <c r="D63" s="178"/>
      <c r="E63" s="178"/>
      <c r="F63" s="178"/>
      <c r="H63" s="126"/>
      <c r="I63" s="116"/>
    </row>
    <row r="64" spans="1:11" x14ac:dyDescent="0.25">
      <c r="A64" s="363" t="s">
        <v>489</v>
      </c>
      <c r="B64" s="497"/>
      <c r="C64" s="498"/>
      <c r="D64" s="178"/>
      <c r="E64" s="178"/>
      <c r="F64" s="178"/>
      <c r="H64" s="126"/>
      <c r="I64" s="116"/>
    </row>
    <row r="65" spans="1:11" x14ac:dyDescent="0.25">
      <c r="A65" s="363" t="s">
        <v>490</v>
      </c>
      <c r="B65" s="497"/>
      <c r="C65" s="498"/>
      <c r="D65" s="178"/>
      <c r="E65" s="178"/>
      <c r="F65" s="178"/>
      <c r="H65" s="126"/>
      <c r="I65" s="116"/>
    </row>
    <row r="66" spans="1:11" x14ac:dyDescent="0.25">
      <c r="A66" s="363" t="s">
        <v>491</v>
      </c>
      <c r="B66" s="497"/>
      <c r="C66" s="498"/>
      <c r="D66" s="178"/>
      <c r="E66" s="178"/>
      <c r="F66" s="178"/>
      <c r="H66" s="126"/>
      <c r="I66" s="116"/>
    </row>
    <row r="67" spans="1:11" x14ac:dyDescent="0.25">
      <c r="A67" s="363" t="s">
        <v>492</v>
      </c>
      <c r="B67" s="497"/>
      <c r="C67" s="498"/>
      <c r="D67" s="178"/>
      <c r="E67" s="178"/>
      <c r="F67" s="178"/>
      <c r="H67" s="126"/>
      <c r="I67" s="116"/>
    </row>
    <row r="68" spans="1:11" x14ac:dyDescent="0.25">
      <c r="A68" s="364"/>
      <c r="B68" s="207" t="s">
        <v>596</v>
      </c>
      <c r="C68" s="270" t="str">
        <f>IF(C62="","-",C62)</f>
        <v>-</v>
      </c>
      <c r="D68" s="278">
        <f>SUM(D63:D67)</f>
        <v>0</v>
      </c>
      <c r="E68" s="278">
        <f>SUM(E63:E67)</f>
        <v>0</v>
      </c>
      <c r="F68" s="365"/>
      <c r="H68" s="126"/>
      <c r="I68" s="116"/>
    </row>
    <row r="69" spans="1:11" ht="24" x14ac:dyDescent="0.25">
      <c r="A69" s="364"/>
      <c r="B69" s="208" t="s">
        <v>358</v>
      </c>
      <c r="C69" s="270" t="str">
        <f>IF(C62="","-",EOMONTH(C62,Parametrai!$C$17))</f>
        <v>-</v>
      </c>
      <c r="D69" s="209"/>
      <c r="E69" s="209"/>
      <c r="F69" s="278">
        <f>IF($C$14+SUMIFS($F$17:$F61,$B$17:$B61,"Paramos išmokėjimas*")+SUM(F63:F67)&lt;$C$11,SUM(F63:F67),IF($C$14+SUMIFS($F$17:$F61,$B$17:$B61,"Paramos išmokėjimas*")&lt;=$C$11,$C$11-$C$14-SUMIFS($F$17:$F61,$B$17:$B61,"Paramos išmokėjimas*"),0))</f>
        <v>0</v>
      </c>
      <c r="H69" s="126"/>
      <c r="I69" s="117" t="b">
        <f>OR(SUM(F63:F67)&gt;0)</f>
        <v>0</v>
      </c>
    </row>
    <row r="70" spans="1:11" x14ac:dyDescent="0.25">
      <c r="A70" s="364"/>
      <c r="B70" s="210" t="s">
        <v>439</v>
      </c>
      <c r="C70" s="209"/>
      <c r="D70" s="209"/>
      <c r="E70" s="209"/>
      <c r="F70" s="209"/>
      <c r="H70" s="126"/>
      <c r="I70" s="116"/>
    </row>
    <row r="71" spans="1:11" x14ac:dyDescent="0.25">
      <c r="A71" s="363" t="s">
        <v>503</v>
      </c>
      <c r="B71" s="212" t="s">
        <v>61</v>
      </c>
      <c r="C71" s="209"/>
      <c r="D71" s="209"/>
      <c r="E71" s="178"/>
      <c r="F71" s="209"/>
      <c r="H71" s="126"/>
      <c r="I71" s="116"/>
    </row>
    <row r="72" spans="1:11" x14ac:dyDescent="0.25">
      <c r="A72" s="363" t="s">
        <v>504</v>
      </c>
      <c r="B72" s="212" t="s">
        <v>62</v>
      </c>
      <c r="C72" s="209"/>
      <c r="D72" s="209"/>
      <c r="E72" s="178"/>
      <c r="F72" s="209"/>
      <c r="H72" s="126"/>
      <c r="I72" s="116"/>
    </row>
    <row r="73" spans="1:11" x14ac:dyDescent="0.25">
      <c r="A73" s="363" t="s">
        <v>505</v>
      </c>
      <c r="B73" s="212" t="s">
        <v>63</v>
      </c>
      <c r="C73" s="209"/>
      <c r="D73" s="209"/>
      <c r="E73" s="178"/>
      <c r="F73" s="209"/>
      <c r="H73" s="126"/>
      <c r="I73" s="116"/>
    </row>
    <row r="74" spans="1:11" x14ac:dyDescent="0.25">
      <c r="A74" s="363" t="s">
        <v>506</v>
      </c>
      <c r="B74" s="212" t="s">
        <v>64</v>
      </c>
      <c r="C74" s="209"/>
      <c r="D74" s="209"/>
      <c r="E74" s="178"/>
      <c r="F74" s="209"/>
      <c r="H74" s="126"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117"/>
      <c r="J74" s="117" t="str">
        <f>IF(
    OR(
        $C$12 =
            Konstantos!$A$85,
        $C$12 = Konstantos!$A$87
    ),
    SUMIFS(
        $F$1:$F61,
        $B$1:$B61, "Paramos išmokėjimas*"
    ) + $C$14 -
        SUMIFS(
            $E$1:$E74,
            $B$1:$B74, "Paramos lėšos"
        ),
    IF(
        $C$12 =
            Konstantos!$A$86,
        $F69,
        "-"
    )
)</f>
        <v>-</v>
      </c>
      <c r="K74" s="120"/>
    </row>
    <row r="75" spans="1:11" ht="15.75" thickBot="1" x14ac:dyDescent="0.3">
      <c r="A75" s="360"/>
      <c r="B75" s="357" t="s">
        <v>71</v>
      </c>
      <c r="C75" s="358"/>
      <c r="D75" s="358"/>
      <c r="E75" s="359">
        <f>SUM(E71:E74)</f>
        <v>0</v>
      </c>
      <c r="F75" s="358"/>
      <c r="H75" s="126"/>
      <c r="I75" s="116"/>
    </row>
    <row r="76" spans="1:11" ht="15.75" thickTop="1" x14ac:dyDescent="0.25">
      <c r="A76" s="362" t="s">
        <v>493</v>
      </c>
      <c r="B76" s="353" t="s">
        <v>74</v>
      </c>
      <c r="C76" s="352"/>
      <c r="D76" s="353"/>
      <c r="E76" s="353"/>
      <c r="F76" s="353"/>
      <c r="H76" s="126" t="str">
        <f>IF(AND(C76="",D82&lt;&gt;0),"Klaida! Įveskite etapo paramos išmokėjimo prašymo pateikimo datą","ok")</f>
        <v>ok</v>
      </c>
      <c r="I76" s="116"/>
    </row>
    <row r="77" spans="1:11" x14ac:dyDescent="0.25">
      <c r="A77" s="363" t="s">
        <v>494</v>
      </c>
      <c r="B77" s="497"/>
      <c r="C77" s="498"/>
      <c r="D77" s="178"/>
      <c r="E77" s="178"/>
      <c r="F77" s="178"/>
      <c r="H77" s="126"/>
      <c r="I77" s="116"/>
    </row>
    <row r="78" spans="1:11" x14ac:dyDescent="0.25">
      <c r="A78" s="363" t="s">
        <v>495</v>
      </c>
      <c r="B78" s="497"/>
      <c r="C78" s="498"/>
      <c r="D78" s="178"/>
      <c r="E78" s="178"/>
      <c r="F78" s="178"/>
      <c r="H78" s="126"/>
      <c r="I78" s="116"/>
    </row>
    <row r="79" spans="1:11" x14ac:dyDescent="0.25">
      <c r="A79" s="363" t="s">
        <v>496</v>
      </c>
      <c r="B79" s="497"/>
      <c r="C79" s="498"/>
      <c r="D79" s="178"/>
      <c r="E79" s="178"/>
      <c r="F79" s="178"/>
      <c r="H79" s="126"/>
      <c r="I79" s="116"/>
    </row>
    <row r="80" spans="1:11" x14ac:dyDescent="0.25">
      <c r="A80" s="363" t="s">
        <v>497</v>
      </c>
      <c r="B80" s="497"/>
      <c r="C80" s="498"/>
      <c r="D80" s="178"/>
      <c r="E80" s="178"/>
      <c r="F80" s="178"/>
      <c r="H80" s="126"/>
      <c r="I80" s="116"/>
    </row>
    <row r="81" spans="1:11" x14ac:dyDescent="0.25">
      <c r="A81" s="363" t="s">
        <v>498</v>
      </c>
      <c r="B81" s="497"/>
      <c r="C81" s="498"/>
      <c r="D81" s="178"/>
      <c r="E81" s="178"/>
      <c r="F81" s="178"/>
      <c r="H81" s="126"/>
      <c r="I81" s="116"/>
    </row>
    <row r="82" spans="1:11" x14ac:dyDescent="0.25">
      <c r="A82" s="364"/>
      <c r="B82" s="207" t="s">
        <v>596</v>
      </c>
      <c r="C82" s="270" t="str">
        <f>IF(C76="","-",C76)</f>
        <v>-</v>
      </c>
      <c r="D82" s="278">
        <f>SUM(D77:D81)</f>
        <v>0</v>
      </c>
      <c r="E82" s="278">
        <f>SUM(E77:E81)</f>
        <v>0</v>
      </c>
      <c r="F82" s="365"/>
      <c r="H82" s="126"/>
      <c r="I82" s="116"/>
    </row>
    <row r="83" spans="1:11" ht="24" x14ac:dyDescent="0.25">
      <c r="A83" s="364"/>
      <c r="B83" s="208" t="s">
        <v>358</v>
      </c>
      <c r="C83" s="270" t="str">
        <f>IF(C76="","-",EOMONTH(C76,Parametrai!$C$17))</f>
        <v>-</v>
      </c>
      <c r="D83" s="209"/>
      <c r="E83" s="209"/>
      <c r="F83" s="278">
        <f>IF($C$14+SUMIFS($F$17:$F75,$B$17:$B75,"Paramos išmokėjimas*")+SUM(F77:F81)&lt;$C$11,SUM(F77:F81),IF($C$14+SUMIFS($F$17:$F75,$B$17:$B75,"Paramos išmokėjimas*")&lt;=$C$11,$C$11-$C$14-SUMIFS($F$17:$F75,$B$17:$B75,"Paramos išmokėjimas*"),0))</f>
        <v>0</v>
      </c>
      <c r="H83" s="126"/>
      <c r="I83" s="117" t="b">
        <f>OR(SUM(F77:F81)&gt;0)</f>
        <v>0</v>
      </c>
    </row>
    <row r="84" spans="1:11" x14ac:dyDescent="0.25">
      <c r="A84" s="364"/>
      <c r="B84" s="210" t="s">
        <v>439</v>
      </c>
      <c r="C84" s="209"/>
      <c r="D84" s="209"/>
      <c r="E84" s="209"/>
      <c r="F84" s="209"/>
      <c r="H84" s="126"/>
      <c r="I84" s="116"/>
    </row>
    <row r="85" spans="1:11" x14ac:dyDescent="0.25">
      <c r="A85" s="363" t="s">
        <v>507</v>
      </c>
      <c r="B85" s="212" t="s">
        <v>61</v>
      </c>
      <c r="C85" s="209"/>
      <c r="D85" s="209"/>
      <c r="E85" s="178"/>
      <c r="F85" s="209"/>
      <c r="H85" s="126"/>
      <c r="I85" s="116"/>
    </row>
    <row r="86" spans="1:11" x14ac:dyDescent="0.25">
      <c r="A86" s="363" t="s">
        <v>508</v>
      </c>
      <c r="B86" s="212" t="s">
        <v>62</v>
      </c>
      <c r="C86" s="209"/>
      <c r="D86" s="209"/>
      <c r="E86" s="178"/>
      <c r="F86" s="209"/>
      <c r="H86" s="126"/>
      <c r="I86" s="116"/>
    </row>
    <row r="87" spans="1:11" x14ac:dyDescent="0.25">
      <c r="A87" s="363" t="s">
        <v>509</v>
      </c>
      <c r="B87" s="212" t="s">
        <v>63</v>
      </c>
      <c r="C87" s="209"/>
      <c r="D87" s="209"/>
      <c r="E87" s="178"/>
      <c r="F87" s="209"/>
      <c r="H87" s="126"/>
      <c r="I87" s="116"/>
    </row>
    <row r="88" spans="1:11" x14ac:dyDescent="0.25">
      <c r="A88" s="363" t="s">
        <v>510</v>
      </c>
      <c r="B88" s="212" t="s">
        <v>64</v>
      </c>
      <c r="C88" s="209"/>
      <c r="D88" s="209"/>
      <c r="E88" s="178"/>
      <c r="F88" s="209"/>
      <c r="H88" s="126"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117"/>
      <c r="J88" s="117" t="str">
        <f>IF(
    OR(
        $C$12 =
            Konstantos!$A$85,
        $C$12 = Konstantos!$A$87
    ),
    SUMIFS(
        $F$1:$F75,
        $B$1:$B75, "Paramos išmokėjimas*"
    ) + $C$14 -
        SUMIFS(
            $E$1:$E88,
            $B$1:$B88, "Paramos lėšos"
        ),
    IF(
        $C$12 =
            Konstantos!$A$86,
        $F83,
        "-"
    )
)</f>
        <v>-</v>
      </c>
      <c r="K88" s="120"/>
    </row>
    <row r="89" spans="1:11" ht="15.75" thickBot="1" x14ac:dyDescent="0.3">
      <c r="A89" s="360"/>
      <c r="B89" s="357" t="s">
        <v>71</v>
      </c>
      <c r="C89" s="358"/>
      <c r="D89" s="358"/>
      <c r="E89" s="359">
        <f>SUM(E85:E88)</f>
        <v>0</v>
      </c>
      <c r="F89" s="358"/>
      <c r="H89" s="126"/>
      <c r="I89" s="116"/>
    </row>
    <row r="90" spans="1:11" ht="15.75" thickTop="1" x14ac:dyDescent="0.25"/>
  </sheetData>
  <sheetProtection algorithmName="SHA-512" hashValue="oaxL1Dv/uEgA7r6VUobemSbAnRdHv5IG1iDQiiNU/1YVzGFKmpELhvPznrlHtKlUThrhyHXWZuxun/80cczFOQ==" saltValue="FM5MlBhnD9UyRjGkvvzxCA==" spinCount="100000" sheet="1" objects="1" scenarios="1"/>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C72" sqref="C72"/>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3" t="s">
        <v>21</v>
      </c>
      <c r="C1" s="501" t="s">
        <v>712</v>
      </c>
      <c r="D1" s="501"/>
      <c r="E1" s="501"/>
      <c r="F1" s="501"/>
      <c r="G1" s="501"/>
      <c r="H1" s="501"/>
      <c r="I1" s="501"/>
      <c r="J1" s="501"/>
      <c r="K1" s="501"/>
      <c r="L1" s="501"/>
      <c r="M1" s="6"/>
      <c r="N1" s="86" t="s">
        <v>296</v>
      </c>
    </row>
    <row r="2" spans="1:18" ht="10.7" customHeight="1" x14ac:dyDescent="0.25">
      <c r="B2" s="20"/>
      <c r="C2" s="50" t="s">
        <v>571</v>
      </c>
      <c r="D2" s="313">
        <f>D62-SUMIFS('5'!$D:$D,'5'!$C:$C,"&gt;="&amp;DATE('6'!D$4,1,1),'5'!$C:$C,"&lt;="&amp;DATE('6'!D$4,12,31))</f>
        <v>0</v>
      </c>
      <c r="E2" s="313">
        <f>E62-SUMIFS('5'!$D:$D,'5'!$C:$C,"&gt;="&amp;DATE('6'!E$4,1,1),'5'!$C:$C,"&lt;="&amp;DATE('6'!E$4,12,31))</f>
        <v>0</v>
      </c>
      <c r="F2" s="313">
        <f>F62-SUMIFS('5'!$D:$D,'5'!$C:$C,"&gt;="&amp;DATE('6'!F$4,1,1),'5'!$C:$C,"&lt;="&amp;DATE('6'!F$4,12,31))</f>
        <v>0</v>
      </c>
      <c r="G2" s="313">
        <f>G62-SUMIFS('5'!$D:$D,'5'!$C:$C,"&gt;="&amp;DATE('6'!G$4,1,1),'5'!$C:$C,"&lt;="&amp;DATE('6'!G$4,12,31))</f>
        <v>0</v>
      </c>
      <c r="H2" s="313">
        <f>H62-SUMIFS('5'!$D:$D,'5'!$C:$C,"&gt;="&amp;DATE('6'!H$4,1,1),'5'!$C:$C,"&lt;="&amp;DATE('6'!H$4,12,31))</f>
        <v>0</v>
      </c>
      <c r="I2" s="313">
        <f>I62-SUMIFS('5'!$D:$D,'5'!$C:$C,"&gt;="&amp;DATE('6'!I$4,1,1),'5'!$C:$C,"&lt;="&amp;DATE('6'!I$4,12,31))</f>
        <v>0</v>
      </c>
      <c r="J2" s="313">
        <f>J62-SUMIFS('5'!$D:$D,'5'!$C:$C,"&gt;="&amp;DATE('6'!J$4,1,1),'5'!$C:$C,"&lt;="&amp;DATE('6'!J$4,12,31))</f>
        <v>0</v>
      </c>
      <c r="K2" s="313">
        <f>K62-SUMIFS('5'!$D:$D,'5'!$C:$C,"&gt;="&amp;DATE('6'!K$4,1,1),'5'!$C:$C,"&lt;="&amp;DATE('6'!K$4,12,31))</f>
        <v>0</v>
      </c>
      <c r="L2" s="313">
        <f>L62-SUMIFS('5'!$D:$D,'5'!$C:$C,"&gt;="&amp;DATE('6'!L$4,1,1),'5'!$C:$C,"&lt;="&amp;DATE('6'!L$4,12,31))</f>
        <v>0</v>
      </c>
      <c r="N2" s="126" t="str">
        <f>IF(COUNTIFS($D$2:$L$2,"&lt;0")&gt;0,"Klaida! Tikrinkite, investicijų suma įvesta 5 skyriuje yra didesnė už įsigijimus šiame skyriuje","ok")</f>
        <v>ok</v>
      </c>
    </row>
    <row r="3" spans="1:18" s="32" customFormat="1" ht="21.4" customHeight="1" x14ac:dyDescent="0.25">
      <c r="A3" s="340"/>
      <c r="B3" s="449" t="s">
        <v>22</v>
      </c>
      <c r="C3" s="494" t="s">
        <v>44</v>
      </c>
      <c r="D3" s="193" t="str">
        <f>IF(AND('1'!$C$22="Verslo pradžia",YEAR('1'!$E$22)=YEAR('1'!$C$11)),"Pradžios metai","Ataskaitiniai metai")</f>
        <v>Ataskaitiniai metai</v>
      </c>
      <c r="E3" s="453" t="s">
        <v>12</v>
      </c>
      <c r="F3" s="454"/>
      <c r="G3" s="454"/>
      <c r="H3" s="454"/>
      <c r="I3" s="454"/>
      <c r="J3" s="454"/>
      <c r="K3" s="454"/>
      <c r="L3" s="455"/>
      <c r="M3" s="31"/>
      <c r="N3" s="126" t="str">
        <f>IF(COUNTIFS($D$2:$L$2,"&gt;0")&gt;0,"Dėmesio! Įsitikinkite, ar tikrai investicijų suma įvesta 5 skyriuje turi būti mažesnė už įsigijimų vertę šiame skyriuje","ok")</f>
        <v>ok</v>
      </c>
    </row>
    <row r="4" spans="1:18" s="32" customFormat="1" ht="12.75" customHeight="1" thickBot="1" x14ac:dyDescent="0.3">
      <c r="A4" s="341"/>
      <c r="B4" s="450"/>
      <c r="C4" s="495"/>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M4" s="31"/>
      <c r="N4" s="104"/>
    </row>
    <row r="5" spans="1:18" ht="15.75" thickTop="1" x14ac:dyDescent="0.25">
      <c r="B5" s="214" t="s">
        <v>621</v>
      </c>
      <c r="C5" s="215" t="s">
        <v>98</v>
      </c>
      <c r="D5" s="298"/>
      <c r="E5" s="298"/>
      <c r="F5" s="298"/>
      <c r="G5" s="298"/>
      <c r="H5" s="298"/>
      <c r="I5" s="298"/>
      <c r="J5" s="298"/>
      <c r="K5" s="298"/>
      <c r="L5" s="298"/>
      <c r="M5" s="16"/>
      <c r="N5" s="104" t="s">
        <v>429</v>
      </c>
    </row>
    <row r="6" spans="1:18" x14ac:dyDescent="0.25">
      <c r="B6" s="33" t="s">
        <v>622</v>
      </c>
      <c r="C6" s="34" t="s">
        <v>45</v>
      </c>
      <c r="D6" s="125"/>
      <c r="E6" s="280">
        <f>D9</f>
        <v>0</v>
      </c>
      <c r="F6" s="280">
        <f t="shared" ref="F6:L6" si="0">E9</f>
        <v>0</v>
      </c>
      <c r="G6" s="280">
        <f t="shared" si="0"/>
        <v>0</v>
      </c>
      <c r="H6" s="280">
        <f t="shared" si="0"/>
        <v>0</v>
      </c>
      <c r="I6" s="280">
        <f t="shared" si="0"/>
        <v>0</v>
      </c>
      <c r="J6" s="280">
        <f t="shared" si="0"/>
        <v>0</v>
      </c>
      <c r="K6" s="280">
        <f t="shared" si="0"/>
        <v>0</v>
      </c>
      <c r="L6" s="280">
        <f t="shared" si="0"/>
        <v>0</v>
      </c>
      <c r="N6" s="104"/>
      <c r="R6" s="15"/>
    </row>
    <row r="7" spans="1:18" x14ac:dyDescent="0.25">
      <c r="B7" s="33" t="s">
        <v>623</v>
      </c>
      <c r="C7" s="34" t="s">
        <v>46</v>
      </c>
      <c r="D7" s="125"/>
      <c r="E7" s="125"/>
      <c r="F7" s="125"/>
      <c r="G7" s="125"/>
      <c r="H7" s="125"/>
      <c r="I7" s="125"/>
      <c r="J7" s="125"/>
      <c r="K7" s="125"/>
      <c r="L7" s="125"/>
      <c r="N7" s="104"/>
    </row>
    <row r="8" spans="1:18" x14ac:dyDescent="0.25">
      <c r="B8" s="33" t="s">
        <v>624</v>
      </c>
      <c r="C8" s="34" t="s">
        <v>47</v>
      </c>
      <c r="D8" s="125"/>
      <c r="E8" s="125"/>
      <c r="F8" s="125"/>
      <c r="G8" s="125"/>
      <c r="H8" s="125"/>
      <c r="I8" s="125"/>
      <c r="J8" s="125"/>
      <c r="K8" s="125"/>
      <c r="L8" s="125"/>
      <c r="N8" s="104"/>
    </row>
    <row r="9" spans="1:18" x14ac:dyDescent="0.25">
      <c r="B9" s="33" t="s">
        <v>625</v>
      </c>
      <c r="C9" s="299" t="s">
        <v>55</v>
      </c>
      <c r="D9" s="300">
        <f>SUM(D6,D7)-D8</f>
        <v>0</v>
      </c>
      <c r="E9" s="300">
        <f>SUM(E6,E7)-E8</f>
        <v>0</v>
      </c>
      <c r="F9" s="300">
        <f t="shared" ref="F9:L9" si="1">SUM(F6,F7)-F8</f>
        <v>0</v>
      </c>
      <c r="G9" s="300">
        <f t="shared" si="1"/>
        <v>0</v>
      </c>
      <c r="H9" s="300">
        <f t="shared" si="1"/>
        <v>0</v>
      </c>
      <c r="I9" s="300">
        <f t="shared" si="1"/>
        <v>0</v>
      </c>
      <c r="J9" s="300">
        <f t="shared" si="1"/>
        <v>0</v>
      </c>
      <c r="K9" s="300">
        <f t="shared" si="1"/>
        <v>0</v>
      </c>
      <c r="L9" s="300">
        <f t="shared" si="1"/>
        <v>0</v>
      </c>
      <c r="N9" s="104"/>
    </row>
    <row r="10" spans="1:18" x14ac:dyDescent="0.25">
      <c r="B10" s="216" t="s">
        <v>620</v>
      </c>
      <c r="C10" s="217" t="s">
        <v>39</v>
      </c>
      <c r="D10" s="281"/>
      <c r="E10" s="281"/>
      <c r="F10" s="281"/>
      <c r="G10" s="281"/>
      <c r="H10" s="281"/>
      <c r="I10" s="281"/>
      <c r="J10" s="281"/>
      <c r="K10" s="281"/>
      <c r="L10" s="281"/>
      <c r="N10" s="126" t="s">
        <v>430</v>
      </c>
    </row>
    <row r="11" spans="1:18" x14ac:dyDescent="0.25">
      <c r="B11" s="33" t="s">
        <v>626</v>
      </c>
      <c r="C11" s="35" t="s">
        <v>48</v>
      </c>
      <c r="D11" s="125"/>
      <c r="E11" s="280">
        <f>D14</f>
        <v>0</v>
      </c>
      <c r="F11" s="280">
        <f t="shared" ref="F11:L11" si="2">E14</f>
        <v>0</v>
      </c>
      <c r="G11" s="280">
        <f t="shared" si="2"/>
        <v>0</v>
      </c>
      <c r="H11" s="280">
        <f t="shared" si="2"/>
        <v>0</v>
      </c>
      <c r="I11" s="280">
        <f t="shared" si="2"/>
        <v>0</v>
      </c>
      <c r="J11" s="280">
        <f t="shared" si="2"/>
        <v>0</v>
      </c>
      <c r="K11" s="280">
        <f t="shared" si="2"/>
        <v>0</v>
      </c>
      <c r="L11" s="280">
        <f t="shared" si="2"/>
        <v>0</v>
      </c>
      <c r="N11" s="104"/>
    </row>
    <row r="12" spans="1:18" x14ac:dyDescent="0.25">
      <c r="B12" s="33" t="s">
        <v>627</v>
      </c>
      <c r="C12" s="36" t="s">
        <v>46</v>
      </c>
      <c r="D12" s="125"/>
      <c r="E12" s="125"/>
      <c r="F12" s="125"/>
      <c r="G12" s="125"/>
      <c r="H12" s="125"/>
      <c r="I12" s="125"/>
      <c r="J12" s="125"/>
      <c r="K12" s="125"/>
      <c r="L12" s="125"/>
      <c r="N12" s="104"/>
      <c r="Q12" s="15"/>
    </row>
    <row r="13" spans="1:18" x14ac:dyDescent="0.25">
      <c r="B13" s="33" t="s">
        <v>628</v>
      </c>
      <c r="C13" s="36" t="s">
        <v>49</v>
      </c>
      <c r="D13" s="125"/>
      <c r="E13" s="125"/>
      <c r="F13" s="125"/>
      <c r="G13" s="125"/>
      <c r="H13" s="125"/>
      <c r="I13" s="125"/>
      <c r="J13" s="125"/>
      <c r="K13" s="125"/>
      <c r="L13" s="125"/>
      <c r="N13" s="104"/>
    </row>
    <row r="14" spans="1:18" x14ac:dyDescent="0.25">
      <c r="B14" s="33" t="s">
        <v>629</v>
      </c>
      <c r="C14" s="35" t="s">
        <v>50</v>
      </c>
      <c r="D14" s="280">
        <f t="shared" ref="D14:L14" si="3">+D11+D12-D13</f>
        <v>0</v>
      </c>
      <c r="E14" s="280">
        <f t="shared" si="3"/>
        <v>0</v>
      </c>
      <c r="F14" s="280">
        <f t="shared" si="3"/>
        <v>0</v>
      </c>
      <c r="G14" s="280">
        <f t="shared" si="3"/>
        <v>0</v>
      </c>
      <c r="H14" s="280">
        <f t="shared" si="3"/>
        <v>0</v>
      </c>
      <c r="I14" s="280">
        <f t="shared" si="3"/>
        <v>0</v>
      </c>
      <c r="J14" s="280">
        <f t="shared" si="3"/>
        <v>0</v>
      </c>
      <c r="K14" s="280">
        <f t="shared" si="3"/>
        <v>0</v>
      </c>
      <c r="L14" s="280">
        <f t="shared" si="3"/>
        <v>0</v>
      </c>
      <c r="N14" s="104"/>
    </row>
    <row r="15" spans="1:18" x14ac:dyDescent="0.25">
      <c r="B15" s="33" t="s">
        <v>630</v>
      </c>
      <c r="C15" s="35" t="s">
        <v>51</v>
      </c>
      <c r="D15" s="125"/>
      <c r="E15" s="280">
        <f>+D18</f>
        <v>0</v>
      </c>
      <c r="F15" s="280">
        <f t="shared" ref="F15:L15" si="4">+E18</f>
        <v>0</v>
      </c>
      <c r="G15" s="280">
        <f t="shared" si="4"/>
        <v>0</v>
      </c>
      <c r="H15" s="280">
        <f t="shared" si="4"/>
        <v>0</v>
      </c>
      <c r="I15" s="280">
        <f t="shared" si="4"/>
        <v>0</v>
      </c>
      <c r="J15" s="280">
        <f t="shared" si="4"/>
        <v>0</v>
      </c>
      <c r="K15" s="280">
        <f t="shared" si="4"/>
        <v>0</v>
      </c>
      <c r="L15" s="280">
        <f t="shared" si="4"/>
        <v>0</v>
      </c>
      <c r="N15" s="104"/>
    </row>
    <row r="16" spans="1:18" x14ac:dyDescent="0.25">
      <c r="B16" s="33" t="s">
        <v>631</v>
      </c>
      <c r="C16" s="36" t="s">
        <v>52</v>
      </c>
      <c r="D16" s="125"/>
      <c r="E16" s="125"/>
      <c r="F16" s="125"/>
      <c r="G16" s="125"/>
      <c r="H16" s="125"/>
      <c r="I16" s="125"/>
      <c r="J16" s="125"/>
      <c r="K16" s="125"/>
      <c r="L16" s="125"/>
      <c r="N16" s="104"/>
    </row>
    <row r="17" spans="2:14" x14ac:dyDescent="0.25">
      <c r="B17" s="33" t="s">
        <v>632</v>
      </c>
      <c r="C17" s="36" t="s">
        <v>53</v>
      </c>
      <c r="D17" s="125"/>
      <c r="E17" s="125"/>
      <c r="F17" s="125"/>
      <c r="G17" s="125"/>
      <c r="H17" s="125"/>
      <c r="I17" s="125"/>
      <c r="J17" s="125"/>
      <c r="K17" s="125"/>
      <c r="L17" s="125"/>
      <c r="N17" s="104"/>
    </row>
    <row r="18" spans="2:14" x14ac:dyDescent="0.25">
      <c r="B18" s="33" t="s">
        <v>633</v>
      </c>
      <c r="C18" s="35" t="s">
        <v>54</v>
      </c>
      <c r="D18" s="280">
        <f>SUM(D15:D17)</f>
        <v>0</v>
      </c>
      <c r="E18" s="280">
        <f t="shared" ref="E18:L18" si="5">SUM(E15:E17)</f>
        <v>0</v>
      </c>
      <c r="F18" s="280">
        <f t="shared" si="5"/>
        <v>0</v>
      </c>
      <c r="G18" s="280">
        <f t="shared" si="5"/>
        <v>0</v>
      </c>
      <c r="H18" s="280">
        <f t="shared" si="5"/>
        <v>0</v>
      </c>
      <c r="I18" s="280">
        <f t="shared" si="5"/>
        <v>0</v>
      </c>
      <c r="J18" s="280">
        <f t="shared" si="5"/>
        <v>0</v>
      </c>
      <c r="K18" s="280">
        <f t="shared" si="5"/>
        <v>0</v>
      </c>
      <c r="L18" s="280">
        <f t="shared" si="5"/>
        <v>0</v>
      </c>
      <c r="N18" s="104"/>
    </row>
    <row r="19" spans="2:14" x14ac:dyDescent="0.25">
      <c r="B19" s="33" t="s">
        <v>634</v>
      </c>
      <c r="C19" s="37" t="s">
        <v>55</v>
      </c>
      <c r="D19" s="280">
        <f>+D14-D18</f>
        <v>0</v>
      </c>
      <c r="E19" s="280">
        <f t="shared" ref="E19:L19" si="6">+E14-E18</f>
        <v>0</v>
      </c>
      <c r="F19" s="280">
        <f t="shared" si="6"/>
        <v>0</v>
      </c>
      <c r="G19" s="280">
        <f t="shared" si="6"/>
        <v>0</v>
      </c>
      <c r="H19" s="280">
        <f t="shared" si="6"/>
        <v>0</v>
      </c>
      <c r="I19" s="280">
        <f t="shared" si="6"/>
        <v>0</v>
      </c>
      <c r="J19" s="280">
        <f t="shared" si="6"/>
        <v>0</v>
      </c>
      <c r="K19" s="280">
        <f>+K14-K18</f>
        <v>0</v>
      </c>
      <c r="L19" s="280">
        <f t="shared" si="6"/>
        <v>0</v>
      </c>
      <c r="N19" s="104"/>
    </row>
    <row r="20" spans="2:14" x14ac:dyDescent="0.25">
      <c r="B20" s="216" t="s">
        <v>635</v>
      </c>
      <c r="C20" s="218" t="s">
        <v>56</v>
      </c>
      <c r="D20" s="281"/>
      <c r="E20" s="281"/>
      <c r="F20" s="281"/>
      <c r="G20" s="281"/>
      <c r="H20" s="281"/>
      <c r="I20" s="281"/>
      <c r="J20" s="281"/>
      <c r="K20" s="281"/>
      <c r="L20" s="281"/>
      <c r="N20" s="104"/>
    </row>
    <row r="21" spans="2:14" x14ac:dyDescent="0.25">
      <c r="B21" s="33" t="s">
        <v>626</v>
      </c>
      <c r="C21" s="35" t="s">
        <v>48</v>
      </c>
      <c r="D21" s="125"/>
      <c r="E21" s="280">
        <f>D24</f>
        <v>0</v>
      </c>
      <c r="F21" s="280">
        <f t="shared" ref="F21:L21" si="7">E24</f>
        <v>0</v>
      </c>
      <c r="G21" s="280">
        <f t="shared" si="7"/>
        <v>0</v>
      </c>
      <c r="H21" s="280">
        <f t="shared" si="7"/>
        <v>0</v>
      </c>
      <c r="I21" s="280">
        <f t="shared" si="7"/>
        <v>0</v>
      </c>
      <c r="J21" s="280">
        <f t="shared" si="7"/>
        <v>0</v>
      </c>
      <c r="K21" s="280">
        <f t="shared" si="7"/>
        <v>0</v>
      </c>
      <c r="L21" s="280">
        <f t="shared" si="7"/>
        <v>0</v>
      </c>
      <c r="N21" s="104"/>
    </row>
    <row r="22" spans="2:14" x14ac:dyDescent="0.25">
      <c r="B22" s="33" t="s">
        <v>627</v>
      </c>
      <c r="C22" s="36" t="s">
        <v>46</v>
      </c>
      <c r="D22" s="125"/>
      <c r="E22" s="125"/>
      <c r="F22" s="125"/>
      <c r="G22" s="125"/>
      <c r="H22" s="125"/>
      <c r="I22" s="125"/>
      <c r="J22" s="125"/>
      <c r="K22" s="125"/>
      <c r="L22" s="125"/>
      <c r="N22" s="104"/>
    </row>
    <row r="23" spans="2:14" x14ac:dyDescent="0.25">
      <c r="B23" s="33" t="s">
        <v>628</v>
      </c>
      <c r="C23" s="36" t="s">
        <v>49</v>
      </c>
      <c r="D23" s="125"/>
      <c r="E23" s="125"/>
      <c r="F23" s="125"/>
      <c r="G23" s="125"/>
      <c r="H23" s="125"/>
      <c r="I23" s="125"/>
      <c r="J23" s="125"/>
      <c r="K23" s="125"/>
      <c r="L23" s="125"/>
      <c r="N23" s="104"/>
    </row>
    <row r="24" spans="2:14" x14ac:dyDescent="0.25">
      <c r="B24" s="33" t="s">
        <v>629</v>
      </c>
      <c r="C24" s="35" t="s">
        <v>50</v>
      </c>
      <c r="D24" s="280">
        <f>+D21+D22-D23</f>
        <v>0</v>
      </c>
      <c r="E24" s="280">
        <f t="shared" ref="E24:L24" si="8">+E21+E22-E23</f>
        <v>0</v>
      </c>
      <c r="F24" s="280">
        <f t="shared" si="8"/>
        <v>0</v>
      </c>
      <c r="G24" s="280">
        <f t="shared" si="8"/>
        <v>0</v>
      </c>
      <c r="H24" s="280">
        <f t="shared" si="8"/>
        <v>0</v>
      </c>
      <c r="I24" s="280">
        <f t="shared" si="8"/>
        <v>0</v>
      </c>
      <c r="J24" s="280">
        <f t="shared" si="8"/>
        <v>0</v>
      </c>
      <c r="K24" s="280">
        <f t="shared" si="8"/>
        <v>0</v>
      </c>
      <c r="L24" s="280">
        <f t="shared" si="8"/>
        <v>0</v>
      </c>
      <c r="N24" s="104"/>
    </row>
    <row r="25" spans="2:14" x14ac:dyDescent="0.25">
      <c r="B25" s="33" t="s">
        <v>630</v>
      </c>
      <c r="C25" s="35" t="s">
        <v>51</v>
      </c>
      <c r="D25" s="125"/>
      <c r="E25" s="280">
        <f>D28</f>
        <v>0</v>
      </c>
      <c r="F25" s="280">
        <f t="shared" ref="F25:L25" si="9">E28</f>
        <v>0</v>
      </c>
      <c r="G25" s="280">
        <f t="shared" si="9"/>
        <v>0</v>
      </c>
      <c r="H25" s="280">
        <f t="shared" si="9"/>
        <v>0</v>
      </c>
      <c r="I25" s="280">
        <f t="shared" si="9"/>
        <v>0</v>
      </c>
      <c r="J25" s="280">
        <f t="shared" si="9"/>
        <v>0</v>
      </c>
      <c r="K25" s="280">
        <f t="shared" si="9"/>
        <v>0</v>
      </c>
      <c r="L25" s="280">
        <f t="shared" si="9"/>
        <v>0</v>
      </c>
      <c r="N25" s="104"/>
    </row>
    <row r="26" spans="2:14" x14ac:dyDescent="0.25">
      <c r="B26" s="33" t="s">
        <v>631</v>
      </c>
      <c r="C26" s="36" t="s">
        <v>52</v>
      </c>
      <c r="D26" s="125"/>
      <c r="E26" s="125"/>
      <c r="F26" s="125"/>
      <c r="G26" s="125"/>
      <c r="H26" s="125"/>
      <c r="I26" s="125"/>
      <c r="J26" s="125"/>
      <c r="K26" s="125"/>
      <c r="L26" s="125"/>
      <c r="N26" s="104"/>
    </row>
    <row r="27" spans="2:14" x14ac:dyDescent="0.25">
      <c r="B27" s="33" t="s">
        <v>632</v>
      </c>
      <c r="C27" s="36" t="s">
        <v>53</v>
      </c>
      <c r="D27" s="125"/>
      <c r="E27" s="125"/>
      <c r="F27" s="125"/>
      <c r="G27" s="125"/>
      <c r="H27" s="125"/>
      <c r="I27" s="125"/>
      <c r="J27" s="125"/>
      <c r="K27" s="125"/>
      <c r="L27" s="125"/>
      <c r="N27" s="104"/>
    </row>
    <row r="28" spans="2:14" x14ac:dyDescent="0.25">
      <c r="B28" s="33" t="s">
        <v>633</v>
      </c>
      <c r="C28" s="35" t="s">
        <v>54</v>
      </c>
      <c r="D28" s="280">
        <f>SUM(D25:D27)</f>
        <v>0</v>
      </c>
      <c r="E28" s="280">
        <f t="shared" ref="E28:L28" si="10">SUM(E25:E27)</f>
        <v>0</v>
      </c>
      <c r="F28" s="280">
        <f t="shared" si="10"/>
        <v>0</v>
      </c>
      <c r="G28" s="280">
        <f t="shared" si="10"/>
        <v>0</v>
      </c>
      <c r="H28" s="280">
        <f t="shared" si="10"/>
        <v>0</v>
      </c>
      <c r="I28" s="280">
        <f t="shared" si="10"/>
        <v>0</v>
      </c>
      <c r="J28" s="280">
        <f t="shared" si="10"/>
        <v>0</v>
      </c>
      <c r="K28" s="280">
        <f t="shared" si="10"/>
        <v>0</v>
      </c>
      <c r="L28" s="280">
        <f t="shared" si="10"/>
        <v>0</v>
      </c>
      <c r="N28" s="104"/>
    </row>
    <row r="29" spans="2:14" x14ac:dyDescent="0.25">
      <c r="B29" s="33" t="s">
        <v>634</v>
      </c>
      <c r="C29" s="37" t="s">
        <v>55</v>
      </c>
      <c r="D29" s="280">
        <f>+D24-D28</f>
        <v>0</v>
      </c>
      <c r="E29" s="280">
        <f t="shared" ref="E29:L29" si="11">+E24-E28</f>
        <v>0</v>
      </c>
      <c r="F29" s="280">
        <f t="shared" si="11"/>
        <v>0</v>
      </c>
      <c r="G29" s="280">
        <f t="shared" si="11"/>
        <v>0</v>
      </c>
      <c r="H29" s="280">
        <f t="shared" si="11"/>
        <v>0</v>
      </c>
      <c r="I29" s="280">
        <f t="shared" si="11"/>
        <v>0</v>
      </c>
      <c r="J29" s="280">
        <f t="shared" si="11"/>
        <v>0</v>
      </c>
      <c r="K29" s="280">
        <f>+K24-K28</f>
        <v>0</v>
      </c>
      <c r="L29" s="280">
        <f t="shared" si="11"/>
        <v>0</v>
      </c>
      <c r="N29" s="104"/>
    </row>
    <row r="30" spans="2:14" x14ac:dyDescent="0.25">
      <c r="B30" s="216" t="s">
        <v>636</v>
      </c>
      <c r="C30" s="218" t="s">
        <v>40</v>
      </c>
      <c r="D30" s="281"/>
      <c r="E30" s="281"/>
      <c r="F30" s="281"/>
      <c r="G30" s="281"/>
      <c r="H30" s="281"/>
      <c r="I30" s="281"/>
      <c r="J30" s="281"/>
      <c r="K30" s="281"/>
      <c r="L30" s="281"/>
      <c r="N30" s="104"/>
    </row>
    <row r="31" spans="2:14" x14ac:dyDescent="0.25">
      <c r="B31" s="33" t="s">
        <v>637</v>
      </c>
      <c r="C31" s="35" t="s">
        <v>48</v>
      </c>
      <c r="D31" s="125"/>
      <c r="E31" s="280">
        <f>D34</f>
        <v>0</v>
      </c>
      <c r="F31" s="280">
        <f t="shared" ref="F31:L31" si="12">E34</f>
        <v>0</v>
      </c>
      <c r="G31" s="280">
        <f t="shared" si="12"/>
        <v>0</v>
      </c>
      <c r="H31" s="280">
        <f t="shared" si="12"/>
        <v>0</v>
      </c>
      <c r="I31" s="280">
        <f t="shared" si="12"/>
        <v>0</v>
      </c>
      <c r="J31" s="280">
        <f t="shared" si="12"/>
        <v>0</v>
      </c>
      <c r="K31" s="280">
        <f t="shared" si="12"/>
        <v>0</v>
      </c>
      <c r="L31" s="280">
        <f t="shared" si="12"/>
        <v>0</v>
      </c>
      <c r="N31" s="104"/>
    </row>
    <row r="32" spans="2:14" x14ac:dyDescent="0.25">
      <c r="B32" s="33" t="s">
        <v>638</v>
      </c>
      <c r="C32" s="36" t="s">
        <v>46</v>
      </c>
      <c r="D32" s="125"/>
      <c r="E32" s="125"/>
      <c r="F32" s="125"/>
      <c r="G32" s="125"/>
      <c r="H32" s="125"/>
      <c r="I32" s="125"/>
      <c r="J32" s="125"/>
      <c r="K32" s="125"/>
      <c r="L32" s="125"/>
      <c r="N32" s="104"/>
    </row>
    <row r="33" spans="2:14" x14ac:dyDescent="0.25">
      <c r="B33" s="33" t="s">
        <v>639</v>
      </c>
      <c r="C33" s="36" t="s">
        <v>49</v>
      </c>
      <c r="D33" s="125"/>
      <c r="E33" s="125"/>
      <c r="F33" s="125"/>
      <c r="G33" s="125"/>
      <c r="H33" s="125"/>
      <c r="I33" s="125"/>
      <c r="J33" s="125"/>
      <c r="K33" s="125"/>
      <c r="L33" s="125"/>
      <c r="N33" s="104"/>
    </row>
    <row r="34" spans="2:14" x14ac:dyDescent="0.25">
      <c r="B34" s="33" t="s">
        <v>640</v>
      </c>
      <c r="C34" s="35" t="s">
        <v>50</v>
      </c>
      <c r="D34" s="280">
        <f t="shared" ref="D34:L34" si="13">+D31+D32-D33</f>
        <v>0</v>
      </c>
      <c r="E34" s="280">
        <f t="shared" si="13"/>
        <v>0</v>
      </c>
      <c r="F34" s="280">
        <f t="shared" si="13"/>
        <v>0</v>
      </c>
      <c r="G34" s="280">
        <f t="shared" si="13"/>
        <v>0</v>
      </c>
      <c r="H34" s="280">
        <f t="shared" si="13"/>
        <v>0</v>
      </c>
      <c r="I34" s="280">
        <f t="shared" si="13"/>
        <v>0</v>
      </c>
      <c r="J34" s="280">
        <f t="shared" si="13"/>
        <v>0</v>
      </c>
      <c r="K34" s="280">
        <f t="shared" si="13"/>
        <v>0</v>
      </c>
      <c r="L34" s="280">
        <f t="shared" si="13"/>
        <v>0</v>
      </c>
      <c r="N34" s="104"/>
    </row>
    <row r="35" spans="2:14" x14ac:dyDescent="0.25">
      <c r="B35" s="33" t="s">
        <v>641</v>
      </c>
      <c r="C35" s="35" t="s">
        <v>51</v>
      </c>
      <c r="D35" s="125"/>
      <c r="E35" s="280">
        <f>D38</f>
        <v>0</v>
      </c>
      <c r="F35" s="280">
        <f t="shared" ref="F35:L35" si="14">E38</f>
        <v>0</v>
      </c>
      <c r="G35" s="280">
        <f t="shared" si="14"/>
        <v>0</v>
      </c>
      <c r="H35" s="280">
        <f t="shared" si="14"/>
        <v>0</v>
      </c>
      <c r="I35" s="280">
        <f t="shared" si="14"/>
        <v>0</v>
      </c>
      <c r="J35" s="280">
        <f t="shared" si="14"/>
        <v>0</v>
      </c>
      <c r="K35" s="280">
        <f t="shared" si="14"/>
        <v>0</v>
      </c>
      <c r="L35" s="280">
        <f t="shared" si="14"/>
        <v>0</v>
      </c>
      <c r="N35" s="104"/>
    </row>
    <row r="36" spans="2:14" x14ac:dyDescent="0.25">
      <c r="B36" s="33" t="s">
        <v>642</v>
      </c>
      <c r="C36" s="36" t="s">
        <v>52</v>
      </c>
      <c r="D36" s="125"/>
      <c r="E36" s="125"/>
      <c r="F36" s="125"/>
      <c r="G36" s="125"/>
      <c r="H36" s="125"/>
      <c r="I36" s="125"/>
      <c r="J36" s="125"/>
      <c r="K36" s="125"/>
      <c r="L36" s="125"/>
      <c r="N36" s="104"/>
    </row>
    <row r="37" spans="2:14" x14ac:dyDescent="0.25">
      <c r="B37" s="33" t="s">
        <v>643</v>
      </c>
      <c r="C37" s="36" t="s">
        <v>53</v>
      </c>
      <c r="D37" s="125"/>
      <c r="E37" s="125"/>
      <c r="F37" s="125"/>
      <c r="G37" s="125"/>
      <c r="H37" s="125"/>
      <c r="I37" s="125"/>
      <c r="J37" s="125"/>
      <c r="K37" s="125"/>
      <c r="L37" s="125"/>
      <c r="N37" s="104"/>
    </row>
    <row r="38" spans="2:14" x14ac:dyDescent="0.25">
      <c r="B38" s="33" t="s">
        <v>644</v>
      </c>
      <c r="C38" s="35" t="s">
        <v>54</v>
      </c>
      <c r="D38" s="280">
        <f t="shared" ref="D38:K38" si="15">SUM(D35:D37)</f>
        <v>0</v>
      </c>
      <c r="E38" s="280">
        <f t="shared" si="15"/>
        <v>0</v>
      </c>
      <c r="F38" s="280">
        <f t="shared" si="15"/>
        <v>0</v>
      </c>
      <c r="G38" s="280">
        <f t="shared" si="15"/>
        <v>0</v>
      </c>
      <c r="H38" s="280">
        <f t="shared" si="15"/>
        <v>0</v>
      </c>
      <c r="I38" s="280">
        <f t="shared" si="15"/>
        <v>0</v>
      </c>
      <c r="J38" s="280">
        <f t="shared" si="15"/>
        <v>0</v>
      </c>
      <c r="K38" s="280">
        <f t="shared" si="15"/>
        <v>0</v>
      </c>
      <c r="L38" s="280">
        <f>SUM(L35:L37)</f>
        <v>0</v>
      </c>
      <c r="N38" s="104"/>
    </row>
    <row r="39" spans="2:14" x14ac:dyDescent="0.25">
      <c r="B39" s="33" t="s">
        <v>645</v>
      </c>
      <c r="C39" s="37" t="s">
        <v>55</v>
      </c>
      <c r="D39" s="280">
        <f>+D34-D38</f>
        <v>0</v>
      </c>
      <c r="E39" s="280">
        <f t="shared" ref="E39:L39" si="16">+E34-E38</f>
        <v>0</v>
      </c>
      <c r="F39" s="280">
        <f t="shared" si="16"/>
        <v>0</v>
      </c>
      <c r="G39" s="280">
        <f t="shared" si="16"/>
        <v>0</v>
      </c>
      <c r="H39" s="280">
        <f t="shared" si="16"/>
        <v>0</v>
      </c>
      <c r="I39" s="280">
        <f t="shared" si="16"/>
        <v>0</v>
      </c>
      <c r="J39" s="280">
        <f t="shared" si="16"/>
        <v>0</v>
      </c>
      <c r="K39" s="280">
        <f>+K34-K38</f>
        <v>0</v>
      </c>
      <c r="L39" s="280">
        <f t="shared" si="16"/>
        <v>0</v>
      </c>
      <c r="N39" s="104"/>
    </row>
    <row r="40" spans="2:14" x14ac:dyDescent="0.25">
      <c r="B40" s="216" t="s">
        <v>646</v>
      </c>
      <c r="C40" s="218" t="s">
        <v>57</v>
      </c>
      <c r="D40" s="281"/>
      <c r="E40" s="281"/>
      <c r="F40" s="281"/>
      <c r="G40" s="281"/>
      <c r="H40" s="281"/>
      <c r="I40" s="281"/>
      <c r="J40" s="281"/>
      <c r="K40" s="281"/>
      <c r="L40" s="281"/>
      <c r="N40" s="104"/>
    </row>
    <row r="41" spans="2:14" x14ac:dyDescent="0.25">
      <c r="B41" s="33" t="s">
        <v>647</v>
      </c>
      <c r="C41" s="35" t="s">
        <v>48</v>
      </c>
      <c r="D41" s="125"/>
      <c r="E41" s="280">
        <f>D44</f>
        <v>0</v>
      </c>
      <c r="F41" s="280">
        <f t="shared" ref="F41:L41" si="17">E44</f>
        <v>0</v>
      </c>
      <c r="G41" s="280">
        <f t="shared" si="17"/>
        <v>0</v>
      </c>
      <c r="H41" s="280">
        <f t="shared" si="17"/>
        <v>0</v>
      </c>
      <c r="I41" s="280">
        <f t="shared" si="17"/>
        <v>0</v>
      </c>
      <c r="J41" s="280">
        <f t="shared" si="17"/>
        <v>0</v>
      </c>
      <c r="K41" s="280">
        <f t="shared" si="17"/>
        <v>0</v>
      </c>
      <c r="L41" s="280">
        <f t="shared" si="17"/>
        <v>0</v>
      </c>
      <c r="N41" s="104"/>
    </row>
    <row r="42" spans="2:14" x14ac:dyDescent="0.25">
      <c r="B42" s="33" t="s">
        <v>648</v>
      </c>
      <c r="C42" s="36" t="s">
        <v>46</v>
      </c>
      <c r="D42" s="125"/>
      <c r="E42" s="125"/>
      <c r="F42" s="125"/>
      <c r="G42" s="125"/>
      <c r="H42" s="125"/>
      <c r="I42" s="125"/>
      <c r="J42" s="125"/>
      <c r="K42" s="125"/>
      <c r="L42" s="125"/>
      <c r="N42" s="104"/>
    </row>
    <row r="43" spans="2:14" x14ac:dyDescent="0.25">
      <c r="B43" s="33" t="s">
        <v>649</v>
      </c>
      <c r="C43" s="36" t="s">
        <v>49</v>
      </c>
      <c r="D43" s="125"/>
      <c r="E43" s="125"/>
      <c r="F43" s="125"/>
      <c r="G43" s="125"/>
      <c r="H43" s="125"/>
      <c r="I43" s="125"/>
      <c r="J43" s="125"/>
      <c r="K43" s="125"/>
      <c r="L43" s="125"/>
      <c r="N43" s="104"/>
    </row>
    <row r="44" spans="2:14" x14ac:dyDescent="0.25">
      <c r="B44" s="33" t="s">
        <v>650</v>
      </c>
      <c r="C44" s="35" t="s">
        <v>50</v>
      </c>
      <c r="D44" s="280">
        <f t="shared" ref="D44:L44" si="18">+D41+D42-D43</f>
        <v>0</v>
      </c>
      <c r="E44" s="280">
        <f t="shared" si="18"/>
        <v>0</v>
      </c>
      <c r="F44" s="280">
        <f t="shared" si="18"/>
        <v>0</v>
      </c>
      <c r="G44" s="280">
        <f t="shared" si="18"/>
        <v>0</v>
      </c>
      <c r="H44" s="280">
        <f t="shared" si="18"/>
        <v>0</v>
      </c>
      <c r="I44" s="280">
        <f t="shared" si="18"/>
        <v>0</v>
      </c>
      <c r="J44" s="280">
        <f t="shared" si="18"/>
        <v>0</v>
      </c>
      <c r="K44" s="280">
        <f t="shared" si="18"/>
        <v>0</v>
      </c>
      <c r="L44" s="280">
        <f t="shared" si="18"/>
        <v>0</v>
      </c>
      <c r="N44" s="104"/>
    </row>
    <row r="45" spans="2:14" x14ac:dyDescent="0.25">
      <c r="B45" s="33" t="s">
        <v>651</v>
      </c>
      <c r="C45" s="35" t="s">
        <v>51</v>
      </c>
      <c r="D45" s="125"/>
      <c r="E45" s="280">
        <f>D48</f>
        <v>0</v>
      </c>
      <c r="F45" s="280">
        <f t="shared" ref="F45:L45" si="19">E48</f>
        <v>0</v>
      </c>
      <c r="G45" s="280">
        <f t="shared" si="19"/>
        <v>0</v>
      </c>
      <c r="H45" s="280">
        <f t="shared" si="19"/>
        <v>0</v>
      </c>
      <c r="I45" s="280">
        <f t="shared" si="19"/>
        <v>0</v>
      </c>
      <c r="J45" s="280">
        <f t="shared" si="19"/>
        <v>0</v>
      </c>
      <c r="K45" s="280">
        <f t="shared" si="19"/>
        <v>0</v>
      </c>
      <c r="L45" s="280">
        <f t="shared" si="19"/>
        <v>0</v>
      </c>
      <c r="N45" s="104"/>
    </row>
    <row r="46" spans="2:14" x14ac:dyDescent="0.25">
      <c r="B46" s="33" t="s">
        <v>652</v>
      </c>
      <c r="C46" s="36" t="s">
        <v>52</v>
      </c>
      <c r="D46" s="125"/>
      <c r="E46" s="125"/>
      <c r="F46" s="125"/>
      <c r="G46" s="125"/>
      <c r="H46" s="125"/>
      <c r="I46" s="125"/>
      <c r="J46" s="125"/>
      <c r="K46" s="125"/>
      <c r="L46" s="125"/>
      <c r="N46" s="104"/>
    </row>
    <row r="47" spans="2:14" x14ac:dyDescent="0.25">
      <c r="B47" s="33" t="s">
        <v>653</v>
      </c>
      <c r="C47" s="36" t="s">
        <v>53</v>
      </c>
      <c r="D47" s="125"/>
      <c r="E47" s="125"/>
      <c r="F47" s="125"/>
      <c r="G47" s="125"/>
      <c r="H47" s="125"/>
      <c r="I47" s="125"/>
      <c r="J47" s="125"/>
      <c r="K47" s="125"/>
      <c r="L47" s="125"/>
      <c r="N47" s="104"/>
    </row>
    <row r="48" spans="2:14" x14ac:dyDescent="0.25">
      <c r="B48" s="33" t="s">
        <v>654</v>
      </c>
      <c r="C48" s="35" t="s">
        <v>54</v>
      </c>
      <c r="D48" s="280">
        <f t="shared" ref="D48:K48" si="20">SUM(D45:D47)</f>
        <v>0</v>
      </c>
      <c r="E48" s="280">
        <f t="shared" si="20"/>
        <v>0</v>
      </c>
      <c r="F48" s="280">
        <f t="shared" si="20"/>
        <v>0</v>
      </c>
      <c r="G48" s="280">
        <f t="shared" si="20"/>
        <v>0</v>
      </c>
      <c r="H48" s="280">
        <f t="shared" si="20"/>
        <v>0</v>
      </c>
      <c r="I48" s="280">
        <f t="shared" si="20"/>
        <v>0</v>
      </c>
      <c r="J48" s="280">
        <f t="shared" si="20"/>
        <v>0</v>
      </c>
      <c r="K48" s="280">
        <f t="shared" si="20"/>
        <v>0</v>
      </c>
      <c r="L48" s="280">
        <f>SUM(L45:L47)</f>
        <v>0</v>
      </c>
      <c r="N48" s="104"/>
    </row>
    <row r="49" spans="2:14" x14ac:dyDescent="0.25">
      <c r="B49" s="33" t="s">
        <v>655</v>
      </c>
      <c r="C49" s="37" t="s">
        <v>55</v>
      </c>
      <c r="D49" s="280">
        <f>+D44-D48</f>
        <v>0</v>
      </c>
      <c r="E49" s="280">
        <f t="shared" ref="E49:L49" si="21">+E44-E48</f>
        <v>0</v>
      </c>
      <c r="F49" s="280">
        <f t="shared" si="21"/>
        <v>0</v>
      </c>
      <c r="G49" s="280">
        <f t="shared" si="21"/>
        <v>0</v>
      </c>
      <c r="H49" s="280">
        <f t="shared" si="21"/>
        <v>0</v>
      </c>
      <c r="I49" s="280">
        <f t="shared" si="21"/>
        <v>0</v>
      </c>
      <c r="J49" s="280">
        <f t="shared" si="21"/>
        <v>0</v>
      </c>
      <c r="K49" s="280">
        <f>+K44-K48</f>
        <v>0</v>
      </c>
      <c r="L49" s="280">
        <f t="shared" si="21"/>
        <v>0</v>
      </c>
      <c r="N49" s="104"/>
    </row>
    <row r="50" spans="2:14" x14ac:dyDescent="0.25">
      <c r="B50" s="216" t="s">
        <v>656</v>
      </c>
      <c r="C50" s="218" t="s">
        <v>58</v>
      </c>
      <c r="D50" s="281"/>
      <c r="E50" s="281"/>
      <c r="F50" s="281"/>
      <c r="G50" s="281"/>
      <c r="H50" s="281"/>
      <c r="I50" s="281"/>
      <c r="J50" s="281"/>
      <c r="K50" s="281"/>
      <c r="L50" s="281"/>
      <c r="M50" s="16"/>
      <c r="N50" s="104"/>
    </row>
    <row r="51" spans="2:14" x14ac:dyDescent="0.25">
      <c r="B51" s="33" t="s">
        <v>657</v>
      </c>
      <c r="C51" s="35" t="s">
        <v>48</v>
      </c>
      <c r="D51" s="125"/>
      <c r="E51" s="280">
        <f>D54</f>
        <v>0</v>
      </c>
      <c r="F51" s="280">
        <f t="shared" ref="F51:L51" si="22">E54</f>
        <v>0</v>
      </c>
      <c r="G51" s="280">
        <f t="shared" si="22"/>
        <v>0</v>
      </c>
      <c r="H51" s="280">
        <f t="shared" si="22"/>
        <v>0</v>
      </c>
      <c r="I51" s="280">
        <f t="shared" si="22"/>
        <v>0</v>
      </c>
      <c r="J51" s="280">
        <f t="shared" si="22"/>
        <v>0</v>
      </c>
      <c r="K51" s="280">
        <f t="shared" si="22"/>
        <v>0</v>
      </c>
      <c r="L51" s="280">
        <f t="shared" si="22"/>
        <v>0</v>
      </c>
      <c r="N51" s="104"/>
    </row>
    <row r="52" spans="2:14" x14ac:dyDescent="0.25">
      <c r="B52" s="33" t="s">
        <v>658</v>
      </c>
      <c r="C52" s="36" t="s">
        <v>46</v>
      </c>
      <c r="D52" s="125"/>
      <c r="E52" s="125"/>
      <c r="F52" s="125"/>
      <c r="G52" s="125"/>
      <c r="H52" s="125"/>
      <c r="I52" s="125"/>
      <c r="J52" s="125"/>
      <c r="K52" s="125"/>
      <c r="L52" s="125"/>
      <c r="N52" s="104"/>
    </row>
    <row r="53" spans="2:14" x14ac:dyDescent="0.25">
      <c r="B53" s="33" t="s">
        <v>659</v>
      </c>
      <c r="C53" s="36" t="s">
        <v>49</v>
      </c>
      <c r="D53" s="125"/>
      <c r="E53" s="125"/>
      <c r="F53" s="125"/>
      <c r="G53" s="125"/>
      <c r="H53" s="125"/>
      <c r="I53" s="125"/>
      <c r="J53" s="125"/>
      <c r="K53" s="125"/>
      <c r="L53" s="125"/>
      <c r="N53" s="104"/>
    </row>
    <row r="54" spans="2:14" s="38" customFormat="1" x14ac:dyDescent="0.25">
      <c r="B54" s="33" t="s">
        <v>660</v>
      </c>
      <c r="C54" s="35" t="s">
        <v>50</v>
      </c>
      <c r="D54" s="280">
        <f>+D51+D52-D53</f>
        <v>0</v>
      </c>
      <c r="E54" s="280">
        <f t="shared" ref="E54:L54" si="23">+E51+E52-E53</f>
        <v>0</v>
      </c>
      <c r="F54" s="280">
        <f t="shared" si="23"/>
        <v>0</v>
      </c>
      <c r="G54" s="280">
        <f t="shared" si="23"/>
        <v>0</v>
      </c>
      <c r="H54" s="280">
        <f t="shared" si="23"/>
        <v>0</v>
      </c>
      <c r="I54" s="280">
        <f t="shared" si="23"/>
        <v>0</v>
      </c>
      <c r="J54" s="280">
        <f t="shared" si="23"/>
        <v>0</v>
      </c>
      <c r="K54" s="280">
        <f t="shared" si="23"/>
        <v>0</v>
      </c>
      <c r="L54" s="280">
        <f t="shared" si="23"/>
        <v>0</v>
      </c>
      <c r="M54" s="12"/>
      <c r="N54" s="104"/>
    </row>
    <row r="55" spans="2:14" x14ac:dyDescent="0.25">
      <c r="B55" s="33" t="s">
        <v>661</v>
      </c>
      <c r="C55" s="35" t="s">
        <v>51</v>
      </c>
      <c r="D55" s="125"/>
      <c r="E55" s="280">
        <f>D58</f>
        <v>0</v>
      </c>
      <c r="F55" s="280">
        <f t="shared" ref="F55:L55" si="24">E58</f>
        <v>0</v>
      </c>
      <c r="G55" s="280">
        <f t="shared" si="24"/>
        <v>0</v>
      </c>
      <c r="H55" s="280">
        <f t="shared" si="24"/>
        <v>0</v>
      </c>
      <c r="I55" s="280">
        <f t="shared" si="24"/>
        <v>0</v>
      </c>
      <c r="J55" s="280">
        <f t="shared" si="24"/>
        <v>0</v>
      </c>
      <c r="K55" s="280">
        <f t="shared" si="24"/>
        <v>0</v>
      </c>
      <c r="L55" s="280">
        <f t="shared" si="24"/>
        <v>0</v>
      </c>
      <c r="M55" s="16"/>
      <c r="N55" s="104"/>
    </row>
    <row r="56" spans="2:14" x14ac:dyDescent="0.25">
      <c r="B56" s="33" t="s">
        <v>662</v>
      </c>
      <c r="C56" s="36" t="s">
        <v>52</v>
      </c>
      <c r="D56" s="125"/>
      <c r="E56" s="125"/>
      <c r="F56" s="125"/>
      <c r="G56" s="125"/>
      <c r="H56" s="125"/>
      <c r="I56" s="125"/>
      <c r="J56" s="125"/>
      <c r="K56" s="125"/>
      <c r="L56" s="125"/>
      <c r="M56" s="16"/>
      <c r="N56" s="104"/>
    </row>
    <row r="57" spans="2:14" x14ac:dyDescent="0.25">
      <c r="B57" s="33" t="s">
        <v>663</v>
      </c>
      <c r="C57" s="36" t="s">
        <v>53</v>
      </c>
      <c r="D57" s="125"/>
      <c r="E57" s="125"/>
      <c r="F57" s="125"/>
      <c r="G57" s="125"/>
      <c r="H57" s="125"/>
      <c r="I57" s="125"/>
      <c r="J57" s="125"/>
      <c r="K57" s="125"/>
      <c r="L57" s="125"/>
      <c r="M57" s="16"/>
      <c r="N57" s="104"/>
    </row>
    <row r="58" spans="2:14" x14ac:dyDescent="0.25">
      <c r="B58" s="33" t="s">
        <v>664</v>
      </c>
      <c r="C58" s="35" t="s">
        <v>54</v>
      </c>
      <c r="D58" s="280">
        <f t="shared" ref="D58:K58" si="25">SUM(D55:D57)</f>
        <v>0</v>
      </c>
      <c r="E58" s="280">
        <f t="shared" si="25"/>
        <v>0</v>
      </c>
      <c r="F58" s="280">
        <f t="shared" si="25"/>
        <v>0</v>
      </c>
      <c r="G58" s="280">
        <f t="shared" si="25"/>
        <v>0</v>
      </c>
      <c r="H58" s="280">
        <f t="shared" si="25"/>
        <v>0</v>
      </c>
      <c r="I58" s="280">
        <f t="shared" si="25"/>
        <v>0</v>
      </c>
      <c r="J58" s="280">
        <f t="shared" si="25"/>
        <v>0</v>
      </c>
      <c r="K58" s="280">
        <f t="shared" si="25"/>
        <v>0</v>
      </c>
      <c r="L58" s="280">
        <f>SUM(L55:L57)</f>
        <v>0</v>
      </c>
      <c r="M58" s="16"/>
      <c r="N58" s="104"/>
    </row>
    <row r="59" spans="2:14" ht="15.75" thickBot="1" x14ac:dyDescent="0.3">
      <c r="B59" s="33" t="s">
        <v>665</v>
      </c>
      <c r="C59" s="39" t="s">
        <v>55</v>
      </c>
      <c r="D59" s="280">
        <f>+D54-D58</f>
        <v>0</v>
      </c>
      <c r="E59" s="280">
        <f t="shared" ref="E59:L59" si="26">+E54-E58</f>
        <v>0</v>
      </c>
      <c r="F59" s="280">
        <f t="shared" si="26"/>
        <v>0</v>
      </c>
      <c r="G59" s="280">
        <f t="shared" si="26"/>
        <v>0</v>
      </c>
      <c r="H59" s="280">
        <f t="shared" si="26"/>
        <v>0</v>
      </c>
      <c r="I59" s="280">
        <f t="shared" si="26"/>
        <v>0</v>
      </c>
      <c r="J59" s="280">
        <f t="shared" si="26"/>
        <v>0</v>
      </c>
      <c r="K59" s="280">
        <f>+K54-K58</f>
        <v>0</v>
      </c>
      <c r="L59" s="280">
        <f t="shared" si="26"/>
        <v>0</v>
      </c>
      <c r="M59" s="16"/>
      <c r="N59" s="104"/>
    </row>
    <row r="60" spans="2:14" ht="13.35" customHeight="1" thickTop="1" x14ac:dyDescent="0.25">
      <c r="B60" s="314" t="s">
        <v>666</v>
      </c>
      <c r="C60" s="219" t="s">
        <v>387</v>
      </c>
      <c r="D60" s="220"/>
      <c r="E60" s="220"/>
      <c r="F60" s="220"/>
      <c r="G60" s="220"/>
      <c r="H60" s="220"/>
      <c r="I60" s="220"/>
      <c r="J60" s="220"/>
      <c r="K60" s="220"/>
      <c r="L60" s="315"/>
      <c r="M60" s="16"/>
      <c r="N60" s="104"/>
    </row>
    <row r="61" spans="2:14" ht="13.35" customHeight="1" x14ac:dyDescent="0.25">
      <c r="B61" s="40" t="s">
        <v>667</v>
      </c>
      <c r="C61" s="282" t="s">
        <v>48</v>
      </c>
      <c r="D61" s="251">
        <f t="shared" ref="D61:L69" si="27">SUMIFS(D$5:D$59,$C$5:$C$59,$C61)</f>
        <v>0</v>
      </c>
      <c r="E61" s="251">
        <f t="shared" si="27"/>
        <v>0</v>
      </c>
      <c r="F61" s="251">
        <f t="shared" si="27"/>
        <v>0</v>
      </c>
      <c r="G61" s="251">
        <f t="shared" si="27"/>
        <v>0</v>
      </c>
      <c r="H61" s="251">
        <f t="shared" si="27"/>
        <v>0</v>
      </c>
      <c r="I61" s="251">
        <f t="shared" si="27"/>
        <v>0</v>
      </c>
      <c r="J61" s="251">
        <f t="shared" si="27"/>
        <v>0</v>
      </c>
      <c r="K61" s="251">
        <f t="shared" si="27"/>
        <v>0</v>
      </c>
      <c r="L61" s="251">
        <f t="shared" si="27"/>
        <v>0</v>
      </c>
      <c r="N61" s="104"/>
    </row>
    <row r="62" spans="2:14" ht="13.35" customHeight="1" x14ac:dyDescent="0.25">
      <c r="B62" s="40" t="s">
        <v>668</v>
      </c>
      <c r="C62" s="282" t="s">
        <v>46</v>
      </c>
      <c r="D62" s="251">
        <f>SUMIFS(D$5:D$59,$C$5:$C$59,$C62)</f>
        <v>0</v>
      </c>
      <c r="E62" s="251">
        <f t="shared" si="27"/>
        <v>0</v>
      </c>
      <c r="F62" s="251">
        <f t="shared" si="27"/>
        <v>0</v>
      </c>
      <c r="G62" s="251">
        <f t="shared" si="27"/>
        <v>0</v>
      </c>
      <c r="H62" s="251">
        <f t="shared" si="27"/>
        <v>0</v>
      </c>
      <c r="I62" s="251">
        <f t="shared" si="27"/>
        <v>0</v>
      </c>
      <c r="J62" s="251">
        <f t="shared" si="27"/>
        <v>0</v>
      </c>
      <c r="K62" s="251">
        <f t="shared" si="27"/>
        <v>0</v>
      </c>
      <c r="L62" s="251">
        <f t="shared" si="27"/>
        <v>0</v>
      </c>
      <c r="N62" s="104"/>
    </row>
    <row r="63" spans="2:14" ht="13.35" customHeight="1" x14ac:dyDescent="0.25">
      <c r="B63" s="40" t="s">
        <v>669</v>
      </c>
      <c r="C63" s="282" t="s">
        <v>49</v>
      </c>
      <c r="D63" s="251">
        <f t="shared" si="27"/>
        <v>0</v>
      </c>
      <c r="E63" s="251">
        <f t="shared" si="27"/>
        <v>0</v>
      </c>
      <c r="F63" s="251">
        <f t="shared" si="27"/>
        <v>0</v>
      </c>
      <c r="G63" s="251">
        <f t="shared" si="27"/>
        <v>0</v>
      </c>
      <c r="H63" s="251">
        <f t="shared" si="27"/>
        <v>0</v>
      </c>
      <c r="I63" s="251">
        <f t="shared" si="27"/>
        <v>0</v>
      </c>
      <c r="J63" s="251">
        <f t="shared" si="27"/>
        <v>0</v>
      </c>
      <c r="K63" s="251">
        <f t="shared" si="27"/>
        <v>0</v>
      </c>
      <c r="L63" s="251">
        <f t="shared" si="27"/>
        <v>0</v>
      </c>
      <c r="N63" s="104"/>
    </row>
    <row r="64" spans="2:14" ht="13.35" customHeight="1" x14ac:dyDescent="0.25">
      <c r="B64" s="40" t="s">
        <v>670</v>
      </c>
      <c r="C64" s="282" t="s">
        <v>50</v>
      </c>
      <c r="D64" s="251">
        <f t="shared" si="27"/>
        <v>0</v>
      </c>
      <c r="E64" s="251">
        <f t="shared" si="27"/>
        <v>0</v>
      </c>
      <c r="F64" s="251">
        <f t="shared" si="27"/>
        <v>0</v>
      </c>
      <c r="G64" s="251">
        <f t="shared" si="27"/>
        <v>0</v>
      </c>
      <c r="H64" s="251">
        <f t="shared" si="27"/>
        <v>0</v>
      </c>
      <c r="I64" s="251">
        <f t="shared" si="27"/>
        <v>0</v>
      </c>
      <c r="J64" s="251">
        <f t="shared" si="27"/>
        <v>0</v>
      </c>
      <c r="K64" s="251">
        <f t="shared" si="27"/>
        <v>0</v>
      </c>
      <c r="L64" s="251">
        <f t="shared" si="27"/>
        <v>0</v>
      </c>
      <c r="N64" s="104"/>
    </row>
    <row r="65" spans="2:14" ht="13.35" customHeight="1" x14ac:dyDescent="0.25">
      <c r="B65" s="40" t="s">
        <v>671</v>
      </c>
      <c r="C65" s="282" t="s">
        <v>51</v>
      </c>
      <c r="D65" s="251">
        <f t="shared" si="27"/>
        <v>0</v>
      </c>
      <c r="E65" s="251">
        <f t="shared" si="27"/>
        <v>0</v>
      </c>
      <c r="F65" s="251">
        <f t="shared" si="27"/>
        <v>0</v>
      </c>
      <c r="G65" s="251">
        <f t="shared" si="27"/>
        <v>0</v>
      </c>
      <c r="H65" s="251">
        <f t="shared" si="27"/>
        <v>0</v>
      </c>
      <c r="I65" s="251">
        <f t="shared" si="27"/>
        <v>0</v>
      </c>
      <c r="J65" s="251">
        <f t="shared" si="27"/>
        <v>0</v>
      </c>
      <c r="K65" s="251">
        <f t="shared" si="27"/>
        <v>0</v>
      </c>
      <c r="L65" s="251">
        <f t="shared" si="27"/>
        <v>0</v>
      </c>
      <c r="N65" s="104"/>
    </row>
    <row r="66" spans="2:14" ht="13.35" customHeight="1" x14ac:dyDescent="0.25">
      <c r="B66" s="40" t="s">
        <v>672</v>
      </c>
      <c r="C66" s="282" t="s">
        <v>52</v>
      </c>
      <c r="D66" s="251">
        <f t="shared" si="27"/>
        <v>0</v>
      </c>
      <c r="E66" s="251">
        <f t="shared" si="27"/>
        <v>0</v>
      </c>
      <c r="F66" s="251">
        <f t="shared" si="27"/>
        <v>0</v>
      </c>
      <c r="G66" s="251">
        <f t="shared" si="27"/>
        <v>0</v>
      </c>
      <c r="H66" s="251">
        <f t="shared" si="27"/>
        <v>0</v>
      </c>
      <c r="I66" s="251">
        <f t="shared" si="27"/>
        <v>0</v>
      </c>
      <c r="J66" s="251">
        <f t="shared" si="27"/>
        <v>0</v>
      </c>
      <c r="K66" s="251">
        <f t="shared" si="27"/>
        <v>0</v>
      </c>
      <c r="L66" s="251">
        <f t="shared" si="27"/>
        <v>0</v>
      </c>
      <c r="N66" s="104"/>
    </row>
    <row r="67" spans="2:14" ht="13.35" customHeight="1" x14ac:dyDescent="0.25">
      <c r="B67" s="40" t="s">
        <v>673</v>
      </c>
      <c r="C67" s="282" t="s">
        <v>53</v>
      </c>
      <c r="D67" s="251">
        <f t="shared" si="27"/>
        <v>0</v>
      </c>
      <c r="E67" s="251">
        <f t="shared" si="27"/>
        <v>0</v>
      </c>
      <c r="F67" s="251">
        <f t="shared" si="27"/>
        <v>0</v>
      </c>
      <c r="G67" s="251">
        <f t="shared" si="27"/>
        <v>0</v>
      </c>
      <c r="H67" s="251">
        <f t="shared" si="27"/>
        <v>0</v>
      </c>
      <c r="I67" s="251">
        <f t="shared" si="27"/>
        <v>0</v>
      </c>
      <c r="J67" s="251">
        <f t="shared" si="27"/>
        <v>0</v>
      </c>
      <c r="K67" s="251">
        <f t="shared" si="27"/>
        <v>0</v>
      </c>
      <c r="L67" s="251">
        <f t="shared" si="27"/>
        <v>0</v>
      </c>
      <c r="N67" s="104"/>
    </row>
    <row r="68" spans="2:14" ht="13.35" customHeight="1" x14ac:dyDescent="0.25">
      <c r="B68" s="40" t="s">
        <v>674</v>
      </c>
      <c r="C68" s="282" t="s">
        <v>54</v>
      </c>
      <c r="D68" s="251">
        <f t="shared" si="27"/>
        <v>0</v>
      </c>
      <c r="E68" s="251">
        <f t="shared" si="27"/>
        <v>0</v>
      </c>
      <c r="F68" s="251">
        <f t="shared" si="27"/>
        <v>0</v>
      </c>
      <c r="G68" s="251">
        <f t="shared" si="27"/>
        <v>0</v>
      </c>
      <c r="H68" s="251">
        <f t="shared" si="27"/>
        <v>0</v>
      </c>
      <c r="I68" s="251">
        <f t="shared" si="27"/>
        <v>0</v>
      </c>
      <c r="J68" s="251">
        <f t="shared" si="27"/>
        <v>0</v>
      </c>
      <c r="K68" s="251">
        <f t="shared" si="27"/>
        <v>0</v>
      </c>
      <c r="L68" s="251">
        <f t="shared" si="27"/>
        <v>0</v>
      </c>
      <c r="N68" s="104"/>
    </row>
    <row r="69" spans="2:14" ht="13.35" customHeight="1" thickBot="1" x14ac:dyDescent="0.3">
      <c r="B69" s="41" t="s">
        <v>675</v>
      </c>
      <c r="C69" s="283" t="s">
        <v>55</v>
      </c>
      <c r="D69" s="252">
        <f>SUMIFS(D$5:D$59,$C$5:$C$59,$C69)</f>
        <v>0</v>
      </c>
      <c r="E69" s="252">
        <f>SUMIFS(E$5:E$59,$C$5:$C$59,$C69)</f>
        <v>0</v>
      </c>
      <c r="F69" s="252">
        <f t="shared" si="27"/>
        <v>0</v>
      </c>
      <c r="G69" s="252">
        <f t="shared" si="27"/>
        <v>0</v>
      </c>
      <c r="H69" s="252">
        <f t="shared" si="27"/>
        <v>0</v>
      </c>
      <c r="I69" s="252">
        <f t="shared" si="27"/>
        <v>0</v>
      </c>
      <c r="J69" s="252">
        <f t="shared" si="27"/>
        <v>0</v>
      </c>
      <c r="K69" s="252">
        <f t="shared" si="27"/>
        <v>0</v>
      </c>
      <c r="L69" s="252">
        <f t="shared" si="27"/>
        <v>0</v>
      </c>
      <c r="N69" s="104"/>
    </row>
    <row r="70" spans="2:14" ht="15.75" thickTop="1" x14ac:dyDescent="0.25"/>
  </sheetData>
  <sheetProtection algorithmName="SHA-512" hashValue="Bwpt/OLjg1iiMLDGgApiPY4jhBbc9L+qbR9k6rLGtuzu2vnD2xausISs/2DWrvgxPhyl8vABcO3g3PcRWNP95g==" saltValue="bWGu3yqH+xeBDBqqmI05Yg==" spinCount="100000" sheet="1" objects="1" scenarios="1"/>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40" zoomScaleNormal="140" workbookViewId="0">
      <selection activeCell="C38" sqref="C38"/>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1" t="s">
        <v>34</v>
      </c>
      <c r="B1" s="499" t="s">
        <v>389</v>
      </c>
      <c r="C1" s="499"/>
      <c r="D1" s="499"/>
      <c r="E1" s="499"/>
      <c r="F1" s="499"/>
      <c r="G1" s="499"/>
      <c r="H1" s="499"/>
      <c r="I1" s="499"/>
      <c r="J1" s="499"/>
      <c r="K1" s="499"/>
      <c r="L1" s="6"/>
      <c r="M1" s="86" t="s">
        <v>296</v>
      </c>
    </row>
    <row r="2" spans="1:13" ht="5.0999999999999996" customHeight="1" x14ac:dyDescent="0.25">
      <c r="M2" s="104"/>
    </row>
    <row r="3" spans="1:13" ht="24" x14ac:dyDescent="0.25">
      <c r="A3" s="494" t="s">
        <v>22</v>
      </c>
      <c r="B3" s="494" t="s">
        <v>23</v>
      </c>
      <c r="C3" s="193" t="str">
        <f>IF(AND('1'!$C$22="Verslo pradžia",YEAR('1'!$E$22)=YEAR('1'!$C$11)),"Pradžios metai","Ataskaitiniai metai")</f>
        <v>Ataskaitiniai metai</v>
      </c>
      <c r="D3" s="453" t="s">
        <v>12</v>
      </c>
      <c r="E3" s="454"/>
      <c r="F3" s="454"/>
      <c r="G3" s="454"/>
      <c r="H3" s="454"/>
      <c r="I3" s="454"/>
      <c r="J3" s="454"/>
      <c r="K3" s="455"/>
      <c r="M3" s="104"/>
    </row>
    <row r="4" spans="1:13" ht="15.75" thickBot="1" x14ac:dyDescent="0.3">
      <c r="A4" s="495"/>
      <c r="B4" s="495"/>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f>IF(H3="Pradžios metai",YEAR('1'!$E$22),IF((YEAR('1'!$C$11)-1)+COUNT($B4:G4)&gt;YEAR('1'!$C$18)+Parametrai!$C$15,"-",(YEAR('1'!$C$11)-1)+COUNT($B4:G4)))</f>
        <v>1904</v>
      </c>
      <c r="I4" s="68">
        <f>IF(I3="Pradžios metai",YEAR('1'!$E$22),IF((YEAR('1'!$C$11)-1)+COUNT($B4:H4)&gt;YEAR('1'!$C$18)+Parametrai!$C$15,"-",(YEAR('1'!$C$11)-1)+COUNT($B4:H4)))</f>
        <v>1905</v>
      </c>
      <c r="J4" s="68" t="str">
        <f>IF(J3="Pradžios metai",YEAR('1'!$E$22),IF((YEAR('1'!$C$11)-1)+COUNT($B4:I4)&gt;YEAR('1'!$C$18)+Parametrai!$C$15,"-",(YEAR('1'!$C$11)-1)+COUNT($B4:I4)))</f>
        <v>-</v>
      </c>
      <c r="K4" s="68" t="str">
        <f>IF(K3="Pradžios metai",YEAR('1'!$E$22),IF((YEAR('1'!$C$11)-1)+COUNT($B4:J4)&gt;YEAR('1'!$C$18)+Parametrai!$C$15,"-",(YEAR('1'!$C$11)-1)+COUNT($B4:J4)))</f>
        <v>-</v>
      </c>
      <c r="M4" s="104"/>
    </row>
    <row r="5" spans="1:13" s="20" customFormat="1" ht="12.75" thickTop="1" x14ac:dyDescent="0.25">
      <c r="A5" s="221" t="s">
        <v>388</v>
      </c>
      <c r="B5" s="222" t="s">
        <v>24</v>
      </c>
      <c r="C5" s="223"/>
      <c r="D5" s="223"/>
      <c r="E5" s="223"/>
      <c r="F5" s="223"/>
      <c r="G5" s="223"/>
      <c r="H5" s="223"/>
      <c r="I5" s="223"/>
      <c r="J5" s="223"/>
      <c r="K5" s="224"/>
      <c r="L5" s="19"/>
      <c r="M5" s="104"/>
    </row>
    <row r="6" spans="1:13" s="20" customFormat="1" ht="12" x14ac:dyDescent="0.25">
      <c r="A6" s="21" t="s">
        <v>676</v>
      </c>
      <c r="B6" s="22" t="s">
        <v>25</v>
      </c>
      <c r="C6" s="276">
        <f>+'2-3'!C13-C16-C24</f>
        <v>0</v>
      </c>
      <c r="D6" s="276">
        <f>+'2-3'!D13-D16-D24</f>
        <v>0</v>
      </c>
      <c r="E6" s="276">
        <f>+'2-3'!E13-E16-E24</f>
        <v>0</v>
      </c>
      <c r="F6" s="276">
        <f>+'2-3'!F13-F16-F24</f>
        <v>0</v>
      </c>
      <c r="G6" s="276">
        <f>+'2-3'!G13-G16-G24</f>
        <v>0</v>
      </c>
      <c r="H6" s="276">
        <f>+'2-3'!H13-H16-H24</f>
        <v>0</v>
      </c>
      <c r="I6" s="276">
        <f>+'2-3'!I13-I16-I24</f>
        <v>0</v>
      </c>
      <c r="J6" s="276">
        <f>+'2-3'!J13-J16-J24</f>
        <v>0</v>
      </c>
      <c r="K6" s="276">
        <f>+'2-3'!K13-K16-K24</f>
        <v>0</v>
      </c>
      <c r="L6" s="19"/>
      <c r="M6" s="126" t="s">
        <v>431</v>
      </c>
    </row>
    <row r="7" spans="1:13" s="20" customFormat="1" ht="12" x14ac:dyDescent="0.25">
      <c r="A7" s="21" t="s">
        <v>677</v>
      </c>
      <c r="B7" s="25"/>
      <c r="C7" s="23"/>
      <c r="D7" s="24"/>
      <c r="E7" s="24"/>
      <c r="F7" s="24"/>
      <c r="G7" s="24"/>
      <c r="H7" s="24"/>
      <c r="I7" s="24"/>
      <c r="J7" s="26"/>
      <c r="K7" s="24"/>
      <c r="L7" s="19"/>
      <c r="M7" s="104"/>
    </row>
    <row r="8" spans="1:13" s="20" customFormat="1" ht="12" x14ac:dyDescent="0.25">
      <c r="A8" s="21" t="s">
        <v>678</v>
      </c>
      <c r="B8" s="25"/>
      <c r="C8" s="23"/>
      <c r="D8" s="24"/>
      <c r="E8" s="24"/>
      <c r="F8" s="24"/>
      <c r="G8" s="24"/>
      <c r="H8" s="24"/>
      <c r="I8" s="24"/>
      <c r="J8" s="26"/>
      <c r="K8" s="24"/>
      <c r="L8" s="19"/>
      <c r="M8" s="104"/>
    </row>
    <row r="9" spans="1:13" s="20" customFormat="1" ht="12" x14ac:dyDescent="0.25">
      <c r="A9" s="21" t="s">
        <v>679</v>
      </c>
      <c r="B9" s="25"/>
      <c r="C9" s="23"/>
      <c r="D9" s="24"/>
      <c r="E9" s="24"/>
      <c r="F9" s="24"/>
      <c r="G9" s="24"/>
      <c r="H9" s="24"/>
      <c r="I9" s="24"/>
      <c r="J9" s="26"/>
      <c r="K9" s="24"/>
      <c r="L9" s="19"/>
      <c r="M9" s="104"/>
    </row>
    <row r="10" spans="1:13" s="20" customFormat="1" ht="12" x14ac:dyDescent="0.25">
      <c r="A10" s="21" t="s">
        <v>680</v>
      </c>
      <c r="B10" s="25"/>
      <c r="C10" s="23"/>
      <c r="D10" s="24"/>
      <c r="E10" s="24"/>
      <c r="F10" s="24"/>
      <c r="G10" s="24"/>
      <c r="H10" s="24"/>
      <c r="I10" s="24"/>
      <c r="J10" s="26"/>
      <c r="K10" s="24"/>
      <c r="L10" s="19"/>
      <c r="M10" s="104"/>
    </row>
    <row r="11" spans="1:13" s="20" customFormat="1" ht="12" x14ac:dyDescent="0.25">
      <c r="A11" s="21" t="s">
        <v>681</v>
      </c>
      <c r="B11" s="25"/>
      <c r="C11" s="23"/>
      <c r="D11" s="24"/>
      <c r="E11" s="24"/>
      <c r="F11" s="24"/>
      <c r="G11" s="24"/>
      <c r="H11" s="24"/>
      <c r="I11" s="24"/>
      <c r="J11" s="26"/>
      <c r="K11" s="24"/>
      <c r="L11" s="19"/>
      <c r="M11" s="104"/>
    </row>
    <row r="12" spans="1:13" s="20" customFormat="1" ht="24" x14ac:dyDescent="0.25">
      <c r="A12" s="21" t="s">
        <v>682</v>
      </c>
      <c r="B12" s="22" t="s">
        <v>26</v>
      </c>
      <c r="C12" s="276">
        <f>'6'!D66-C23</f>
        <v>0</v>
      </c>
      <c r="D12" s="276">
        <f>'6'!E66-D23</f>
        <v>0</v>
      </c>
      <c r="E12" s="276">
        <f>'6'!F66-E23</f>
        <v>0</v>
      </c>
      <c r="F12" s="276">
        <f>'6'!G66-F23</f>
        <v>0</v>
      </c>
      <c r="G12" s="276">
        <f>'6'!H66-G23</f>
        <v>0</v>
      </c>
      <c r="H12" s="276">
        <f>'6'!I66-H23</f>
        <v>0</v>
      </c>
      <c r="I12" s="276">
        <f>'6'!J66-I23</f>
        <v>0</v>
      </c>
      <c r="J12" s="276">
        <f>'6'!K66-J23</f>
        <v>0</v>
      </c>
      <c r="K12" s="276">
        <f>'6'!L66-K23</f>
        <v>0</v>
      </c>
      <c r="L12" s="19"/>
      <c r="M12" s="126" t="s">
        <v>432</v>
      </c>
    </row>
    <row r="13" spans="1:13" s="20" customFormat="1" ht="24" x14ac:dyDescent="0.25">
      <c r="A13" s="21" t="s">
        <v>683</v>
      </c>
      <c r="B13" s="22" t="s">
        <v>27</v>
      </c>
      <c r="C13" s="124"/>
      <c r="D13" s="124"/>
      <c r="E13" s="124"/>
      <c r="F13" s="124"/>
      <c r="G13" s="124"/>
      <c r="H13" s="124"/>
      <c r="I13" s="124"/>
      <c r="J13" s="124"/>
      <c r="K13" s="124"/>
      <c r="L13" s="19"/>
      <c r="M13" s="126"/>
    </row>
    <row r="14" spans="1:13" s="20" customFormat="1" ht="12.75" thickBot="1" x14ac:dyDescent="0.3">
      <c r="A14" s="143" t="s">
        <v>684</v>
      </c>
      <c r="B14" s="284" t="s">
        <v>28</v>
      </c>
      <c r="C14" s="285">
        <f>ROUND(SUM(C6:C13),0)</f>
        <v>0</v>
      </c>
      <c r="D14" s="285">
        <f>ROUND(SUM(D6:D13),0)</f>
        <v>0</v>
      </c>
      <c r="E14" s="285">
        <f t="shared" ref="E14:K14" si="0">ROUND(SUM(E6:E13),0)</f>
        <v>0</v>
      </c>
      <c r="F14" s="285">
        <f t="shared" si="0"/>
        <v>0</v>
      </c>
      <c r="G14" s="285">
        <f t="shared" si="0"/>
        <v>0</v>
      </c>
      <c r="H14" s="285">
        <f t="shared" si="0"/>
        <v>0</v>
      </c>
      <c r="I14" s="285">
        <f>ROUND(SUM(I6:I13),0)</f>
        <v>0</v>
      </c>
      <c r="J14" s="285">
        <f>ROUND(SUM(J6:J13),0)</f>
        <v>0</v>
      </c>
      <c r="K14" s="285">
        <f t="shared" si="0"/>
        <v>0</v>
      </c>
      <c r="L14" s="19"/>
      <c r="M14" s="104"/>
    </row>
    <row r="15" spans="1:13" s="20" customFormat="1" ht="12.75" thickTop="1" x14ac:dyDescent="0.25">
      <c r="A15" s="221" t="s">
        <v>685</v>
      </c>
      <c r="B15" s="225" t="s">
        <v>29</v>
      </c>
      <c r="C15" s="226"/>
      <c r="D15" s="226"/>
      <c r="E15" s="226"/>
      <c r="F15" s="226"/>
      <c r="G15" s="226"/>
      <c r="H15" s="226"/>
      <c r="I15" s="226"/>
      <c r="J15" s="226"/>
      <c r="K15" s="227"/>
      <c r="L15" s="19"/>
      <c r="M15" s="104"/>
    </row>
    <row r="16" spans="1:13" s="20" customFormat="1" ht="12" x14ac:dyDescent="0.25">
      <c r="A16" s="21" t="s">
        <v>686</v>
      </c>
      <c r="B16" s="22" t="s">
        <v>25</v>
      </c>
      <c r="C16" s="24"/>
      <c r="D16" s="24"/>
      <c r="E16" s="24"/>
      <c r="F16" s="24"/>
      <c r="G16" s="24"/>
      <c r="H16" s="24"/>
      <c r="I16" s="24"/>
      <c r="J16" s="26"/>
      <c r="K16" s="24"/>
      <c r="L16" s="19"/>
      <c r="M16" s="126" t="s">
        <v>433</v>
      </c>
    </row>
    <row r="17" spans="1:26" s="20" customFormat="1" ht="12" x14ac:dyDescent="0.25">
      <c r="A17" s="21" t="s">
        <v>687</v>
      </c>
      <c r="B17" s="25"/>
      <c r="C17" s="24"/>
      <c r="D17" s="24"/>
      <c r="E17" s="24"/>
      <c r="F17" s="24"/>
      <c r="G17" s="24"/>
      <c r="H17" s="24"/>
      <c r="I17" s="24"/>
      <c r="J17" s="24"/>
      <c r="K17" s="24"/>
      <c r="L17" s="19"/>
      <c r="M17" s="104"/>
    </row>
    <row r="18" spans="1:26" s="20" customFormat="1" ht="12" x14ac:dyDescent="0.25">
      <c r="A18" s="21" t="s">
        <v>688</v>
      </c>
      <c r="B18" s="25"/>
      <c r="C18" s="24"/>
      <c r="D18" s="24"/>
      <c r="E18" s="24"/>
      <c r="F18" s="24"/>
      <c r="G18" s="24"/>
      <c r="H18" s="24"/>
      <c r="I18" s="24"/>
      <c r="J18" s="26"/>
      <c r="K18" s="24"/>
      <c r="L18" s="19"/>
      <c r="M18" s="104"/>
    </row>
    <row r="19" spans="1:26" s="20" customFormat="1" ht="12" x14ac:dyDescent="0.25">
      <c r="A19" s="21" t="s">
        <v>689</v>
      </c>
      <c r="B19" s="25"/>
      <c r="C19" s="24"/>
      <c r="D19" s="24"/>
      <c r="E19" s="24"/>
      <c r="F19" s="24"/>
      <c r="G19" s="24"/>
      <c r="H19" s="24"/>
      <c r="I19" s="24"/>
      <c r="J19" s="26"/>
      <c r="K19" s="24"/>
      <c r="L19" s="19"/>
      <c r="M19" s="104"/>
    </row>
    <row r="20" spans="1:26" s="20" customFormat="1" ht="12" x14ac:dyDescent="0.25">
      <c r="A20" s="21" t="s">
        <v>690</v>
      </c>
      <c r="B20" s="25"/>
      <c r="C20" s="28"/>
      <c r="D20" s="28"/>
      <c r="E20" s="28"/>
      <c r="F20" s="28"/>
      <c r="G20" s="28"/>
      <c r="H20" s="28"/>
      <c r="I20" s="28"/>
      <c r="J20" s="29"/>
      <c r="K20" s="28"/>
      <c r="L20" s="19"/>
      <c r="M20" s="104"/>
    </row>
    <row r="21" spans="1:26" s="20" customFormat="1" ht="12.75" thickBot="1" x14ac:dyDescent="0.3">
      <c r="A21" s="143" t="s">
        <v>691</v>
      </c>
      <c r="B21" s="284" t="s">
        <v>30</v>
      </c>
      <c r="C21" s="285">
        <f>ROUND(SUM(C16:C20),0)</f>
        <v>0</v>
      </c>
      <c r="D21" s="285">
        <f t="shared" ref="D21:K21" si="1">ROUND(SUM(D16:D20),0)</f>
        <v>0</v>
      </c>
      <c r="E21" s="285">
        <f t="shared" si="1"/>
        <v>0</v>
      </c>
      <c r="F21" s="285">
        <f t="shared" si="1"/>
        <v>0</v>
      </c>
      <c r="G21" s="285">
        <f t="shared" si="1"/>
        <v>0</v>
      </c>
      <c r="H21" s="285">
        <f t="shared" si="1"/>
        <v>0</v>
      </c>
      <c r="I21" s="285">
        <f t="shared" si="1"/>
        <v>0</v>
      </c>
      <c r="J21" s="285">
        <f t="shared" si="1"/>
        <v>0</v>
      </c>
      <c r="K21" s="285">
        <f t="shared" si="1"/>
        <v>0</v>
      </c>
      <c r="L21" s="19"/>
      <c r="M21" s="104"/>
    </row>
    <row r="22" spans="1:26" s="20" customFormat="1" ht="24" customHeight="1" thickTop="1" x14ac:dyDescent="0.25">
      <c r="A22" s="221" t="s">
        <v>692</v>
      </c>
      <c r="B22" s="225" t="s">
        <v>31</v>
      </c>
      <c r="C22" s="226"/>
      <c r="D22" s="226"/>
      <c r="E22" s="226"/>
      <c r="F22" s="226"/>
      <c r="G22" s="226"/>
      <c r="H22" s="226"/>
      <c r="I22" s="226"/>
      <c r="J22" s="226"/>
      <c r="K22" s="227"/>
      <c r="L22" s="19"/>
      <c r="M22" s="104"/>
    </row>
    <row r="23" spans="1:26" s="20" customFormat="1" ht="24" x14ac:dyDescent="0.25">
      <c r="A23" s="21" t="s">
        <v>693</v>
      </c>
      <c r="B23" s="22" t="s">
        <v>32</v>
      </c>
      <c r="C23" s="24"/>
      <c r="D23" s="24"/>
      <c r="E23" s="24"/>
      <c r="F23" s="24"/>
      <c r="G23" s="24"/>
      <c r="H23" s="24"/>
      <c r="I23" s="24"/>
      <c r="J23" s="24"/>
      <c r="K23" s="24"/>
      <c r="L23" s="19"/>
      <c r="M23" s="104"/>
    </row>
    <row r="24" spans="1:26" s="20" customFormat="1" ht="12" x14ac:dyDescent="0.25">
      <c r="A24" s="21" t="s">
        <v>694</v>
      </c>
      <c r="B24" s="22" t="s">
        <v>25</v>
      </c>
      <c r="C24" s="24"/>
      <c r="D24" s="24"/>
      <c r="E24" s="24"/>
      <c r="F24" s="24"/>
      <c r="G24" s="24"/>
      <c r="H24" s="24"/>
      <c r="I24" s="24"/>
      <c r="J24" s="24"/>
      <c r="K24" s="24"/>
      <c r="L24" s="19"/>
      <c r="M24" s="126" t="s">
        <v>434</v>
      </c>
    </row>
    <row r="25" spans="1:26" s="20" customFormat="1" ht="12" x14ac:dyDescent="0.25">
      <c r="A25" s="21" t="s">
        <v>695</v>
      </c>
      <c r="B25" s="25"/>
      <c r="C25" s="24"/>
      <c r="D25" s="24"/>
      <c r="E25" s="24"/>
      <c r="F25" s="24"/>
      <c r="G25" s="24"/>
      <c r="H25" s="24"/>
      <c r="I25" s="24"/>
      <c r="J25" s="24"/>
      <c r="K25" s="24"/>
      <c r="L25" s="19"/>
      <c r="M25" s="104"/>
      <c r="Z25" s="27"/>
    </row>
    <row r="26" spans="1:26" s="20" customFormat="1" ht="12" x14ac:dyDescent="0.25">
      <c r="A26" s="21" t="s">
        <v>696</v>
      </c>
      <c r="B26" s="25"/>
      <c r="C26" s="24"/>
      <c r="D26" s="24"/>
      <c r="E26" s="24"/>
      <c r="F26" s="24"/>
      <c r="G26" s="24"/>
      <c r="H26" s="24"/>
      <c r="I26" s="24"/>
      <c r="J26" s="26"/>
      <c r="K26" s="24"/>
      <c r="L26" s="19"/>
      <c r="M26" s="104"/>
    </row>
    <row r="27" spans="1:26" s="20" customFormat="1" ht="12" x14ac:dyDescent="0.25">
      <c r="A27" s="21" t="s">
        <v>697</v>
      </c>
      <c r="B27" s="25"/>
      <c r="C27" s="24"/>
      <c r="D27" s="24"/>
      <c r="E27" s="24"/>
      <c r="F27" s="24"/>
      <c r="G27" s="24"/>
      <c r="H27" s="24"/>
      <c r="I27" s="24"/>
      <c r="J27" s="26"/>
      <c r="K27" s="24"/>
      <c r="L27" s="19"/>
      <c r="M27" s="104"/>
    </row>
    <row r="28" spans="1:26" s="20" customFormat="1" ht="12" x14ac:dyDescent="0.25">
      <c r="A28" s="21" t="s">
        <v>698</v>
      </c>
      <c r="B28" s="25"/>
      <c r="C28" s="24"/>
      <c r="D28" s="24"/>
      <c r="E28" s="24"/>
      <c r="F28" s="24"/>
      <c r="G28" s="24"/>
      <c r="H28" s="24"/>
      <c r="I28" s="24"/>
      <c r="J28" s="26"/>
      <c r="K28" s="24"/>
      <c r="L28" s="19"/>
      <c r="M28" s="104"/>
    </row>
    <row r="29" spans="1:26" s="20" customFormat="1" ht="24.6" customHeight="1" thickBot="1" x14ac:dyDescent="0.3">
      <c r="A29" s="143" t="s">
        <v>699</v>
      </c>
      <c r="B29" s="284" t="s">
        <v>33</v>
      </c>
      <c r="C29" s="285">
        <f>ROUND(SUM(C23:C28),0)</f>
        <v>0</v>
      </c>
      <c r="D29" s="285">
        <f t="shared" ref="D29:K29" si="2">ROUND(SUM(D23:D28),0)</f>
        <v>0</v>
      </c>
      <c r="E29" s="285">
        <f t="shared" si="2"/>
        <v>0</v>
      </c>
      <c r="F29" s="285">
        <f t="shared" si="2"/>
        <v>0</v>
      </c>
      <c r="G29" s="285">
        <f t="shared" si="2"/>
        <v>0</v>
      </c>
      <c r="H29" s="285">
        <f t="shared" si="2"/>
        <v>0</v>
      </c>
      <c r="I29" s="285">
        <f t="shared" si="2"/>
        <v>0</v>
      </c>
      <c r="J29" s="285">
        <f t="shared" si="2"/>
        <v>0</v>
      </c>
      <c r="K29" s="285">
        <f t="shared" si="2"/>
        <v>0</v>
      </c>
      <c r="L29" s="19"/>
      <c r="M29" s="104"/>
    </row>
    <row r="30" spans="1:26" ht="24.75" thickTop="1" x14ac:dyDescent="0.25">
      <c r="A30" s="221" t="s">
        <v>1022</v>
      </c>
      <c r="B30" s="225" t="s">
        <v>1028</v>
      </c>
      <c r="C30" s="226"/>
      <c r="D30" s="226"/>
      <c r="E30" s="226"/>
      <c r="F30" s="226"/>
      <c r="G30" s="226"/>
      <c r="H30" s="226"/>
      <c r="I30" s="226"/>
      <c r="J30" s="226"/>
      <c r="K30" s="227"/>
      <c r="M30" s="104"/>
    </row>
    <row r="31" spans="1:26" x14ac:dyDescent="0.25">
      <c r="A31" s="21" t="s">
        <v>1023</v>
      </c>
      <c r="B31" s="13" t="s">
        <v>582</v>
      </c>
      <c r="C31" s="276">
        <f>'8'!D25+'8'!D35</f>
        <v>0</v>
      </c>
      <c r="D31" s="276">
        <f>'8'!E25+'8'!E35</f>
        <v>0</v>
      </c>
      <c r="E31" s="276">
        <f>'8'!F25+'8'!F35</f>
        <v>0</v>
      </c>
      <c r="F31" s="276">
        <f>'8'!G25+'8'!G35</f>
        <v>0</v>
      </c>
      <c r="G31" s="276">
        <f>'8'!H25+'8'!H35</f>
        <v>0</v>
      </c>
      <c r="H31" s="276">
        <f>'8'!I25+'8'!I35</f>
        <v>0</v>
      </c>
      <c r="I31" s="276">
        <f>'8'!J25+'8'!J35</f>
        <v>0</v>
      </c>
      <c r="J31" s="276">
        <f>'8'!K25+'8'!K35</f>
        <v>0</v>
      </c>
      <c r="K31" s="276">
        <f>'8'!L25+'8'!L35</f>
        <v>0</v>
      </c>
      <c r="M31" s="104"/>
    </row>
    <row r="32" spans="1:26" x14ac:dyDescent="0.25">
      <c r="A32" s="416" t="str">
        <f>IF(Parametrai!$C$9="Asociacijos ir viešosios įstaigos","7.5.","")</f>
        <v/>
      </c>
      <c r="B32" s="416" t="str">
        <f>IF(Parametrai!$C$9="Asociacijos ir viešosios įstaigos","Veiklos sąnaudos iš viso","")</f>
        <v/>
      </c>
      <c r="C32" s="417" t="str">
        <f>IF(Parametrai!$C$9="Asociacijos ir viešosios įstaigos",SUM(C21,C29,C31),"")</f>
        <v/>
      </c>
      <c r="D32" s="417" t="str">
        <f>IF(Parametrai!$C$9="Asociacijos ir viešosios įstaigos",SUM(D21,D29,D31),"")</f>
        <v/>
      </c>
      <c r="E32" s="417" t="str">
        <f>IF(Parametrai!$C$9="Asociacijos ir viešosios įstaigos",SUM(E21,E29,E31),"")</f>
        <v/>
      </c>
      <c r="F32" s="417" t="str">
        <f>IF(Parametrai!$C$9="Asociacijos ir viešosios įstaigos",SUM(F21,F29,F31),"")</f>
        <v/>
      </c>
      <c r="G32" s="417" t="str">
        <f>IF(Parametrai!$C$9="Asociacijos ir viešosios įstaigos",SUM(G21,G29,G31),"")</f>
        <v/>
      </c>
      <c r="H32" s="417" t="str">
        <f>IF(Parametrai!$C$9="Asociacijos ir viešosios įstaigos",SUM(H21,H29,H31),"")</f>
        <v/>
      </c>
      <c r="I32" s="417" t="str">
        <f>IF(Parametrai!$C$9="Asociacijos ir viešosios įstaigos",SUM(I21,I29,I31),"")</f>
        <v/>
      </c>
      <c r="J32" s="417" t="str">
        <f>IF(Parametrai!$C$9="Asociacijos ir viešosios įstaigos",SUM(J21,J29,J31),"")</f>
        <v/>
      </c>
      <c r="K32" s="417" t="str">
        <f>IF(Parametrai!$C$9="Asociacijos ir viešosios įstaigos",SUM(K21,K29,K31),"")</f>
        <v/>
      </c>
      <c r="M32" s="104"/>
    </row>
    <row r="33" spans="1:11" x14ac:dyDescent="0.25">
      <c r="A33" s="20"/>
      <c r="B33" s="20"/>
      <c r="C33" s="20"/>
      <c r="D33" s="20"/>
      <c r="E33" s="20"/>
      <c r="F33" s="20"/>
      <c r="G33" s="20"/>
      <c r="H33" s="20"/>
      <c r="I33" s="20"/>
      <c r="J33" s="20"/>
      <c r="K33" s="20"/>
    </row>
    <row r="34" spans="1:11" x14ac:dyDescent="0.25">
      <c r="C34" s="408"/>
    </row>
    <row r="35" spans="1:11" x14ac:dyDescent="0.25">
      <c r="C35" s="408"/>
    </row>
  </sheetData>
  <sheetProtection algorithmName="SHA-512" hashValue="5a0a4qXzSNWU2kBRcjGrKZW4E9BFF8DXvcZegat4mI1HbdRvWS8IJWmqZYXAwCkodElIeIXEXGuRS5yNXS60vA==" saltValue="/SgG3Ns0iySUGlqWM7iutQ==" spinCount="100000" sheet="1" objects="1" scenarios="1"/>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B1" zoomScale="130" zoomScaleNormal="130" workbookViewId="0">
      <selection activeCell="F24" sqref="F24"/>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1" t="s">
        <v>36</v>
      </c>
      <c r="C1" s="518" t="s">
        <v>396</v>
      </c>
      <c r="D1" s="518"/>
      <c r="E1" s="518"/>
      <c r="F1" s="518"/>
      <c r="G1" s="518"/>
      <c r="H1" s="518"/>
      <c r="I1" s="518"/>
      <c r="J1" s="518"/>
      <c r="K1" s="518"/>
      <c r="L1" s="518"/>
      <c r="N1" s="112" t="s">
        <v>296</v>
      </c>
    </row>
    <row r="2" spans="1:14" s="3" customFormat="1" ht="12" customHeight="1" x14ac:dyDescent="0.25">
      <c r="N2" s="104"/>
    </row>
    <row r="3" spans="1:14" s="3" customFormat="1" x14ac:dyDescent="0.25">
      <c r="B3" s="330" t="s">
        <v>996</v>
      </c>
      <c r="C3" s="331" t="s">
        <v>395</v>
      </c>
      <c r="D3" s="331"/>
      <c r="E3" s="331"/>
      <c r="F3" s="332"/>
      <c r="G3" s="332"/>
      <c r="H3" s="332"/>
      <c r="I3" s="332"/>
      <c r="J3" s="332"/>
      <c r="K3" s="332"/>
      <c r="L3" s="333"/>
      <c r="N3" s="126" t="s">
        <v>412</v>
      </c>
    </row>
    <row r="4" spans="1:14" s="3" customFormat="1" x14ac:dyDescent="0.25">
      <c r="A4" s="337"/>
      <c r="B4" s="519" t="s">
        <v>35</v>
      </c>
      <c r="C4" s="521" t="s">
        <v>75</v>
      </c>
      <c r="D4" s="521"/>
      <c r="E4" s="525" t="s">
        <v>401</v>
      </c>
      <c r="F4" s="526"/>
      <c r="G4" s="527"/>
      <c r="H4" s="521" t="s">
        <v>402</v>
      </c>
      <c r="I4" s="523" t="s">
        <v>403</v>
      </c>
      <c r="J4" s="523" t="s">
        <v>404</v>
      </c>
      <c r="K4" s="523" t="s">
        <v>76</v>
      </c>
      <c r="L4" s="229" t="s">
        <v>400</v>
      </c>
      <c r="N4" s="104"/>
    </row>
    <row r="5" spans="1:14" s="3" customFormat="1" ht="15.75" thickBot="1" x14ac:dyDescent="0.3">
      <c r="A5" s="338"/>
      <c r="B5" s="520"/>
      <c r="C5" s="522"/>
      <c r="D5" s="522"/>
      <c r="E5" s="528"/>
      <c r="F5" s="529"/>
      <c r="G5" s="530"/>
      <c r="H5" s="522"/>
      <c r="I5" s="524"/>
      <c r="J5" s="524"/>
      <c r="K5" s="524"/>
      <c r="L5" s="339">
        <f>DATE(D15,12,31)</f>
        <v>693962</v>
      </c>
      <c r="N5" s="104"/>
    </row>
    <row r="6" spans="1:14" s="3" customFormat="1" ht="15.75" thickTop="1" x14ac:dyDescent="0.25">
      <c r="B6" s="44" t="s">
        <v>390</v>
      </c>
      <c r="C6" s="510"/>
      <c r="D6" s="510"/>
      <c r="E6" s="515"/>
      <c r="F6" s="516"/>
      <c r="G6" s="517"/>
      <c r="H6" s="334"/>
      <c r="I6" s="334"/>
      <c r="J6" s="335"/>
      <c r="K6" s="336"/>
      <c r="L6" s="335"/>
      <c r="N6" s="104"/>
    </row>
    <row r="7" spans="1:14" s="3" customFormat="1" x14ac:dyDescent="0.25">
      <c r="B7" s="45" t="s">
        <v>391</v>
      </c>
      <c r="C7" s="511"/>
      <c r="D7" s="511"/>
      <c r="E7" s="512"/>
      <c r="F7" s="513"/>
      <c r="G7" s="514"/>
      <c r="H7" s="46"/>
      <c r="I7" s="46"/>
      <c r="J7" s="146"/>
      <c r="K7" s="148"/>
      <c r="L7" s="145"/>
      <c r="N7" s="104"/>
    </row>
    <row r="8" spans="1:14" s="3" customFormat="1" x14ac:dyDescent="0.25">
      <c r="B8" s="45" t="s">
        <v>392</v>
      </c>
      <c r="C8" s="511"/>
      <c r="D8" s="511"/>
      <c r="E8" s="512"/>
      <c r="F8" s="513"/>
      <c r="G8" s="514"/>
      <c r="H8" s="46"/>
      <c r="I8" s="46"/>
      <c r="J8" s="146"/>
      <c r="K8" s="148"/>
      <c r="L8" s="145"/>
      <c r="N8" s="104"/>
    </row>
    <row r="9" spans="1:14" s="3" customFormat="1" x14ac:dyDescent="0.25">
      <c r="B9" s="45" t="s">
        <v>393</v>
      </c>
      <c r="C9" s="511"/>
      <c r="D9" s="511"/>
      <c r="E9" s="512"/>
      <c r="F9" s="513"/>
      <c r="G9" s="514"/>
      <c r="H9" s="46"/>
      <c r="I9" s="46"/>
      <c r="J9" s="146"/>
      <c r="K9" s="148"/>
      <c r="L9" s="145"/>
      <c r="N9" s="104"/>
    </row>
    <row r="10" spans="1:14" s="3" customFormat="1" ht="15" customHeight="1" thickBot="1" x14ac:dyDescent="0.3">
      <c r="A10" s="150"/>
      <c r="B10" s="144" t="s">
        <v>394</v>
      </c>
      <c r="C10" s="504"/>
      <c r="D10" s="504"/>
      <c r="E10" s="505"/>
      <c r="F10" s="506"/>
      <c r="G10" s="507"/>
      <c r="H10" s="149"/>
      <c r="I10" s="149"/>
      <c r="J10" s="147"/>
      <c r="K10" s="151"/>
      <c r="L10" s="316"/>
      <c r="N10" s="104"/>
    </row>
    <row r="11" spans="1:14" s="3" customFormat="1" ht="15.6" customHeight="1" thickTop="1" thickBot="1" x14ac:dyDescent="0.3">
      <c r="A11" s="150"/>
      <c r="B11" s="508" t="s">
        <v>37</v>
      </c>
      <c r="C11" s="509"/>
      <c r="D11" s="509"/>
      <c r="E11" s="230"/>
      <c r="F11" s="230"/>
      <c r="G11" s="230"/>
      <c r="H11" s="230"/>
      <c r="I11" s="230"/>
      <c r="J11" s="230"/>
      <c r="K11" s="230"/>
      <c r="L11" s="317">
        <f>SUM(L6:L10)</f>
        <v>0</v>
      </c>
      <c r="M11" s="47"/>
      <c r="N11" s="126" t="str">
        <f>IF(L11&lt;&gt;D23+D33,"Klaida! Nesutampa paskolų ir lizingo įsipareigojimų likučiai 8.1. lentelėje su likučių suma 8.2. ir 8.3. lentelėse","ok")</f>
        <v>ok</v>
      </c>
    </row>
    <row r="12" spans="1:14" s="3" customFormat="1" ht="15.75" thickTop="1" x14ac:dyDescent="0.25">
      <c r="N12" s="104"/>
    </row>
    <row r="13" spans="1:14" s="7" customFormat="1" ht="14.25" x14ac:dyDescent="0.25">
      <c r="A13" s="166"/>
      <c r="B13" s="231" t="s">
        <v>997</v>
      </c>
      <c r="C13" s="232" t="s">
        <v>397</v>
      </c>
      <c r="D13" s="232"/>
      <c r="E13" s="232"/>
      <c r="F13" s="232"/>
      <c r="G13" s="232"/>
      <c r="H13" s="232"/>
      <c r="I13" s="232"/>
      <c r="J13" s="232"/>
      <c r="K13" s="232"/>
      <c r="L13" s="233"/>
      <c r="N13" s="126" t="s">
        <v>411</v>
      </c>
    </row>
    <row r="14" spans="1:14" ht="24" x14ac:dyDescent="0.25">
      <c r="A14" s="325"/>
      <c r="B14" s="502" t="s">
        <v>35</v>
      </c>
      <c r="C14" s="502" t="s">
        <v>77</v>
      </c>
      <c r="D14" s="193" t="str">
        <f>IF(AND('1'!$C$22="Verslo pradžia",YEAR('1'!$E$22)=YEAR('1'!$C$11)),"Pradžios metai","Ataskaitiniai metai")</f>
        <v>Ataskaitiniai metai</v>
      </c>
      <c r="E14" s="453" t="s">
        <v>12</v>
      </c>
      <c r="F14" s="454"/>
      <c r="G14" s="454"/>
      <c r="H14" s="454"/>
      <c r="I14" s="454"/>
      <c r="J14" s="454"/>
      <c r="K14" s="454"/>
      <c r="L14" s="455"/>
      <c r="N14" s="104"/>
    </row>
    <row r="15" spans="1:14" ht="15.75" thickBot="1" x14ac:dyDescent="0.3">
      <c r="A15" s="326"/>
      <c r="B15" s="503"/>
      <c r="C15" s="503"/>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f>IF(I14="Pradžios metai",YEAR('1'!$E$22),IF((YEAR('1'!$C$11)-1)+COUNT($C15:H15)&gt;YEAR('1'!$C$18)+Parametrai!$C$15,"-",(YEAR('1'!$C$11)-1)+COUNT($C15:H15)))</f>
        <v>1904</v>
      </c>
      <c r="J15" s="68">
        <f>IF(J14="Pradžios metai",YEAR('1'!$E$22),IF((YEAR('1'!$C$11)-1)+COUNT($C15:I15)&gt;YEAR('1'!$C$18)+Parametrai!$C$15,"-",(YEAR('1'!$C$11)-1)+COUNT($C15:I15)))</f>
        <v>1905</v>
      </c>
      <c r="K15" s="68" t="str">
        <f>IF(K14="Pradžios metai",YEAR('1'!$E$22),IF((YEAR('1'!$C$11)-1)+COUNT($C15:J15)&gt;YEAR('1'!$C$18)+Parametrai!$C$15,"-",(YEAR('1'!$C$11)-1)+COUNT($C15:J15)))</f>
        <v>-</v>
      </c>
      <c r="L15" s="68" t="str">
        <f>IF(L14="Pradžios metai",YEAR('1'!$E$22),IF((YEAR('1'!$C$11)-1)+COUNT($C15:K15)&gt;YEAR('1'!$C$18)+Parametrai!$C$15,"-",(YEAR('1'!$C$11)-1)+COUNT($C15:K15)))</f>
        <v>-</v>
      </c>
      <c r="N15" s="104"/>
    </row>
    <row r="16" spans="1:14" ht="15.75" thickTop="1" x14ac:dyDescent="0.25">
      <c r="B16" s="62" t="s">
        <v>987</v>
      </c>
      <c r="C16" s="63" t="s">
        <v>78</v>
      </c>
      <c r="D16" s="122">
        <f>+D17+D18</f>
        <v>0</v>
      </c>
      <c r="E16" s="122">
        <f>D23</f>
        <v>0</v>
      </c>
      <c r="F16" s="122">
        <f t="shared" ref="F16:K16" si="0">+E23</f>
        <v>0</v>
      </c>
      <c r="G16" s="122">
        <f t="shared" si="0"/>
        <v>0</v>
      </c>
      <c r="H16" s="122">
        <f t="shared" si="0"/>
        <v>0</v>
      </c>
      <c r="I16" s="122">
        <f t="shared" si="0"/>
        <v>0</v>
      </c>
      <c r="J16" s="122">
        <f t="shared" si="0"/>
        <v>0</v>
      </c>
      <c r="K16" s="122">
        <f t="shared" si="0"/>
        <v>0</v>
      </c>
      <c r="L16" s="122">
        <f>+K23</f>
        <v>0</v>
      </c>
      <c r="N16" s="104"/>
    </row>
    <row r="17" spans="1:14" ht="24" x14ac:dyDescent="0.25">
      <c r="B17" s="21" t="s">
        <v>988</v>
      </c>
      <c r="C17" s="13" t="s">
        <v>79</v>
      </c>
      <c r="D17" s="121"/>
      <c r="E17" s="287">
        <f>+D17+D19-D21</f>
        <v>0</v>
      </c>
      <c r="F17" s="287">
        <f t="shared" ref="F17:K18" si="1">+E17+E19-E21</f>
        <v>0</v>
      </c>
      <c r="G17" s="287">
        <f t="shared" si="1"/>
        <v>0</v>
      </c>
      <c r="H17" s="287">
        <f t="shared" si="1"/>
        <v>0</v>
      </c>
      <c r="I17" s="287">
        <f t="shared" si="1"/>
        <v>0</v>
      </c>
      <c r="J17" s="287">
        <f t="shared" si="1"/>
        <v>0</v>
      </c>
      <c r="K17" s="287">
        <f t="shared" si="1"/>
        <v>0</v>
      </c>
      <c r="L17" s="287">
        <f>+K17+K19-K21</f>
        <v>0</v>
      </c>
      <c r="N17" s="104" t="s">
        <v>445</v>
      </c>
    </row>
    <row r="18" spans="1:14" ht="24" x14ac:dyDescent="0.25">
      <c r="B18" s="21" t="s">
        <v>989</v>
      </c>
      <c r="C18" s="21" t="s">
        <v>80</v>
      </c>
      <c r="D18" s="121"/>
      <c r="E18" s="287">
        <f>+D18-D22+D20</f>
        <v>0</v>
      </c>
      <c r="F18" s="287">
        <f t="shared" si="1"/>
        <v>0</v>
      </c>
      <c r="G18" s="287">
        <f t="shared" si="1"/>
        <v>0</v>
      </c>
      <c r="H18" s="287">
        <f t="shared" si="1"/>
        <v>0</v>
      </c>
      <c r="I18" s="287">
        <f t="shared" si="1"/>
        <v>0</v>
      </c>
      <c r="J18" s="287">
        <f t="shared" si="1"/>
        <v>0</v>
      </c>
      <c r="K18" s="287">
        <f t="shared" si="1"/>
        <v>0</v>
      </c>
      <c r="L18" s="287">
        <f>+K18+K20-K22</f>
        <v>0</v>
      </c>
      <c r="N18" s="104" t="s">
        <v>446</v>
      </c>
    </row>
    <row r="19" spans="1:14" x14ac:dyDescent="0.25">
      <c r="B19" s="21" t="s">
        <v>990</v>
      </c>
      <c r="C19" s="21" t="s">
        <v>398</v>
      </c>
      <c r="D19" s="121"/>
      <c r="E19" s="121"/>
      <c r="F19" s="121"/>
      <c r="G19" s="121"/>
      <c r="H19" s="121"/>
      <c r="I19" s="121"/>
      <c r="J19" s="121"/>
      <c r="K19" s="121"/>
      <c r="L19" s="121"/>
      <c r="N19" s="104"/>
    </row>
    <row r="20" spans="1:14" x14ac:dyDescent="0.25">
      <c r="B20" s="21" t="s">
        <v>991</v>
      </c>
      <c r="C20" s="21" t="s">
        <v>81</v>
      </c>
      <c r="D20" s="121"/>
      <c r="E20" s="121"/>
      <c r="F20" s="121"/>
      <c r="G20" s="121"/>
      <c r="H20" s="121"/>
      <c r="I20" s="121"/>
      <c r="J20" s="121"/>
      <c r="K20" s="121"/>
      <c r="L20" s="121"/>
      <c r="N20" s="104"/>
    </row>
    <row r="21" spans="1:14" x14ac:dyDescent="0.25">
      <c r="B21" s="21" t="s">
        <v>992</v>
      </c>
      <c r="C21" s="21" t="s">
        <v>399</v>
      </c>
      <c r="D21" s="121"/>
      <c r="E21" s="121"/>
      <c r="F21" s="121"/>
      <c r="G21" s="121"/>
      <c r="H21" s="121"/>
      <c r="I21" s="121"/>
      <c r="J21" s="121"/>
      <c r="K21" s="121"/>
      <c r="L21" s="121"/>
      <c r="N21" s="104"/>
    </row>
    <row r="22" spans="1:14" ht="15.75" thickBot="1" x14ac:dyDescent="0.3">
      <c r="A22" s="157"/>
      <c r="B22" s="143" t="s">
        <v>986</v>
      </c>
      <c r="C22" s="143" t="s">
        <v>82</v>
      </c>
      <c r="D22" s="159"/>
      <c r="E22" s="159"/>
      <c r="F22" s="159"/>
      <c r="G22" s="159"/>
      <c r="H22" s="159"/>
      <c r="I22" s="159"/>
      <c r="J22" s="159"/>
      <c r="K22" s="159"/>
      <c r="L22" s="159"/>
      <c r="N22" s="104"/>
    </row>
    <row r="23" spans="1:14" ht="16.5" thickTop="1" thickBot="1" x14ac:dyDescent="0.3">
      <c r="A23" s="157"/>
      <c r="B23" s="158" t="s">
        <v>985</v>
      </c>
      <c r="C23" s="158" t="s">
        <v>83</v>
      </c>
      <c r="D23" s="303">
        <f>+D16+D19+D20-D21-D22</f>
        <v>0</v>
      </c>
      <c r="E23" s="303">
        <f t="shared" ref="E23:L23" si="2">+E16+E19+E20-E21-E22</f>
        <v>0</v>
      </c>
      <c r="F23" s="303">
        <f t="shared" si="2"/>
        <v>0</v>
      </c>
      <c r="G23" s="303">
        <f t="shared" si="2"/>
        <v>0</v>
      </c>
      <c r="H23" s="303">
        <f t="shared" si="2"/>
        <v>0</v>
      </c>
      <c r="I23" s="303">
        <f t="shared" si="2"/>
        <v>0</v>
      </c>
      <c r="J23" s="303">
        <f t="shared" si="2"/>
        <v>0</v>
      </c>
      <c r="K23" s="303">
        <f t="shared" si="2"/>
        <v>0</v>
      </c>
      <c r="L23" s="303">
        <f t="shared" si="2"/>
        <v>0</v>
      </c>
      <c r="N23" s="104"/>
    </row>
    <row r="24" spans="1:14" ht="25.5" thickTop="1" thickBot="1" x14ac:dyDescent="0.3">
      <c r="B24" s="181" t="s">
        <v>983</v>
      </c>
      <c r="C24" s="409" t="s">
        <v>993</v>
      </c>
      <c r="D24" s="182"/>
      <c r="E24" s="182"/>
      <c r="F24" s="182"/>
      <c r="G24" s="182"/>
      <c r="H24" s="182"/>
      <c r="I24" s="182"/>
      <c r="J24" s="182"/>
      <c r="K24" s="182"/>
      <c r="L24" s="182"/>
      <c r="N24" s="387" t="s">
        <v>447</v>
      </c>
    </row>
    <row r="25" spans="1:14" ht="15.75" thickTop="1" x14ac:dyDescent="0.25">
      <c r="A25" s="163"/>
      <c r="B25" s="167" t="s">
        <v>984</v>
      </c>
      <c r="C25" s="167" t="s">
        <v>84</v>
      </c>
      <c r="D25" s="164"/>
      <c r="E25" s="164"/>
      <c r="F25" s="164"/>
      <c r="G25" s="164"/>
      <c r="H25" s="164"/>
      <c r="I25" s="164"/>
      <c r="J25" s="164"/>
      <c r="K25" s="164"/>
      <c r="L25" s="164"/>
      <c r="N25" s="104"/>
    </row>
    <row r="26" spans="1:14" x14ac:dyDescent="0.25">
      <c r="N26" s="104"/>
    </row>
    <row r="27" spans="1:14" s="7" customFormat="1" ht="15" customHeight="1" x14ac:dyDescent="0.25">
      <c r="A27" s="166"/>
      <c r="B27" s="231" t="s">
        <v>998</v>
      </c>
      <c r="C27" s="228" t="s">
        <v>420</v>
      </c>
      <c r="D27" s="228"/>
      <c r="E27" s="228"/>
      <c r="F27" s="232"/>
      <c r="G27" s="232"/>
      <c r="H27" s="232"/>
      <c r="I27" s="232"/>
      <c r="J27" s="232"/>
      <c r="K27" s="228"/>
      <c r="L27" s="234"/>
      <c r="N27" s="126" t="s">
        <v>413</v>
      </c>
    </row>
    <row r="28" spans="1:14" ht="24" x14ac:dyDescent="0.25">
      <c r="A28" s="329"/>
      <c r="B28" s="502" t="s">
        <v>35</v>
      </c>
      <c r="C28" s="502" t="s">
        <v>77</v>
      </c>
      <c r="D28" s="193" t="str">
        <f>IF(AND('1'!$C$22="Verslo pradžia",YEAR('1'!$E$22)=YEAR('1'!$C$11)),"Pradžios metai","Ataskaitiniai metai")</f>
        <v>Ataskaitiniai metai</v>
      </c>
      <c r="E28" s="453" t="s">
        <v>12</v>
      </c>
      <c r="F28" s="454"/>
      <c r="G28" s="454"/>
      <c r="H28" s="454"/>
      <c r="I28" s="454"/>
      <c r="J28" s="454"/>
      <c r="K28" s="454"/>
      <c r="L28" s="455"/>
      <c r="N28" s="104"/>
    </row>
    <row r="29" spans="1:14" ht="15.75" thickBot="1" x14ac:dyDescent="0.3">
      <c r="A29" s="157"/>
      <c r="B29" s="503"/>
      <c r="C29" s="503"/>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f>IF(I28="Pradžios metai",YEAR('1'!$E$22),IF((YEAR('1'!$C$11)-1)+COUNT($C29:H29)&gt;YEAR('1'!$C$18)+Parametrai!$C$15,"-",(YEAR('1'!$C$11)-1)+COUNT($C29:H29)))</f>
        <v>1904</v>
      </c>
      <c r="J29" s="68">
        <f>IF(J28="Pradžios metai",YEAR('1'!$E$22),IF((YEAR('1'!$C$11)-1)+COUNT($C29:I29)&gt;YEAR('1'!$C$18)+Parametrai!$C$15,"-",(YEAR('1'!$C$11)-1)+COUNT($C29:I29)))</f>
        <v>1905</v>
      </c>
      <c r="K29" s="68" t="str">
        <f>IF(K28="Pradžios metai",YEAR('1'!$E$22),IF((YEAR('1'!$C$11)-1)+COUNT($C29:J29)&gt;YEAR('1'!$C$18)+Parametrai!$C$15,"-",(YEAR('1'!$C$11)-1)+COUNT($C29:J29)))</f>
        <v>-</v>
      </c>
      <c r="L29" s="68" t="str">
        <f>IF(L28="Pradžios metai",YEAR('1'!$E$22),IF((YEAR('1'!$C$11)-1)+COUNT($C29:K29)&gt;YEAR('1'!$C$18)+Parametrai!$C$15,"-",(YEAR('1'!$C$11)-1)+COUNT($C29:K29)))</f>
        <v>-</v>
      </c>
      <c r="N29" s="104"/>
    </row>
    <row r="30" spans="1:14" ht="24.75" thickTop="1" x14ac:dyDescent="0.25">
      <c r="B30" s="327" t="s">
        <v>979</v>
      </c>
      <c r="C30" s="171" t="s">
        <v>85</v>
      </c>
      <c r="D30" s="328"/>
      <c r="E30" s="122">
        <f>+D33</f>
        <v>0</v>
      </c>
      <c r="F30" s="122">
        <f t="shared" ref="F30:L30" si="3">+E33</f>
        <v>0</v>
      </c>
      <c r="G30" s="122">
        <f t="shared" si="3"/>
        <v>0</v>
      </c>
      <c r="H30" s="122">
        <f t="shared" si="3"/>
        <v>0</v>
      </c>
      <c r="I30" s="122">
        <f t="shared" si="3"/>
        <v>0</v>
      </c>
      <c r="J30" s="122">
        <f t="shared" si="3"/>
        <v>0</v>
      </c>
      <c r="K30" s="122">
        <f t="shared" si="3"/>
        <v>0</v>
      </c>
      <c r="L30" s="122">
        <f t="shared" si="3"/>
        <v>0</v>
      </c>
      <c r="N30" s="104"/>
    </row>
    <row r="31" spans="1:14" x14ac:dyDescent="0.25">
      <c r="B31" s="33" t="s">
        <v>980</v>
      </c>
      <c r="C31" s="48" t="s">
        <v>918</v>
      </c>
      <c r="D31" s="121"/>
      <c r="E31" s="121"/>
      <c r="F31" s="121"/>
      <c r="G31" s="121"/>
      <c r="H31" s="121"/>
      <c r="I31" s="121"/>
      <c r="J31" s="121"/>
      <c r="K31" s="121"/>
      <c r="L31" s="124"/>
      <c r="N31" s="104"/>
    </row>
    <row r="32" spans="1:14" ht="15.75" thickBot="1" x14ac:dyDescent="0.3">
      <c r="A32" s="157"/>
      <c r="B32" s="168" t="s">
        <v>981</v>
      </c>
      <c r="C32" s="160" t="s">
        <v>86</v>
      </c>
      <c r="D32" s="159"/>
      <c r="E32" s="159"/>
      <c r="F32" s="159"/>
      <c r="G32" s="159"/>
      <c r="H32" s="159"/>
      <c r="I32" s="159"/>
      <c r="J32" s="159"/>
      <c r="K32" s="159"/>
      <c r="L32" s="162"/>
      <c r="N32" s="104"/>
    </row>
    <row r="33" spans="1:14" ht="25.5" thickTop="1" thickBot="1" x14ac:dyDescent="0.3">
      <c r="A33" s="157"/>
      <c r="B33" s="169" t="s">
        <v>982</v>
      </c>
      <c r="C33" s="161" t="s">
        <v>87</v>
      </c>
      <c r="D33" s="303">
        <f>+D30+D31-D32</f>
        <v>0</v>
      </c>
      <c r="E33" s="303">
        <f>+E30+E31-E32</f>
        <v>0</v>
      </c>
      <c r="F33" s="303">
        <f t="shared" ref="F33:L33" si="4">+F30+F31-F32</f>
        <v>0</v>
      </c>
      <c r="G33" s="303">
        <f t="shared" si="4"/>
        <v>0</v>
      </c>
      <c r="H33" s="303">
        <f t="shared" si="4"/>
        <v>0</v>
      </c>
      <c r="I33" s="303">
        <f t="shared" si="4"/>
        <v>0</v>
      </c>
      <c r="J33" s="303">
        <f t="shared" si="4"/>
        <v>0</v>
      </c>
      <c r="K33" s="303">
        <f t="shared" si="4"/>
        <v>0</v>
      </c>
      <c r="L33" s="304">
        <f t="shared" si="4"/>
        <v>0</v>
      </c>
      <c r="N33" s="104"/>
    </row>
    <row r="34" spans="1:14" ht="37.5" thickTop="1" thickBot="1" x14ac:dyDescent="0.3">
      <c r="B34" s="181" t="s">
        <v>977</v>
      </c>
      <c r="C34" s="409" t="s">
        <v>994</v>
      </c>
      <c r="D34" s="182"/>
      <c r="E34" s="182"/>
      <c r="F34" s="182"/>
      <c r="G34" s="182"/>
      <c r="H34" s="182"/>
      <c r="I34" s="182"/>
      <c r="J34" s="182"/>
      <c r="K34" s="182"/>
      <c r="L34" s="182"/>
      <c r="N34" s="387" t="s">
        <v>448</v>
      </c>
    </row>
    <row r="35" spans="1:14" ht="14.25" customHeight="1" thickTop="1" x14ac:dyDescent="0.25">
      <c r="A35" s="163"/>
      <c r="B35" s="170" t="s">
        <v>978</v>
      </c>
      <c r="C35" s="305" t="s">
        <v>88</v>
      </c>
      <c r="D35" s="164"/>
      <c r="E35" s="164"/>
      <c r="F35" s="164"/>
      <c r="G35" s="164"/>
      <c r="H35" s="164"/>
      <c r="I35" s="164"/>
      <c r="J35" s="164"/>
      <c r="K35" s="164"/>
      <c r="L35" s="165"/>
      <c r="N35" s="104"/>
    </row>
    <row r="37" spans="1:14" x14ac:dyDescent="0.25">
      <c r="D37" s="379"/>
      <c r="E37" s="379"/>
    </row>
    <row r="38" spans="1:14" x14ac:dyDescent="0.25">
      <c r="D38" s="379"/>
    </row>
    <row r="41" spans="1:14" x14ac:dyDescent="0.25">
      <c r="D41" s="49"/>
      <c r="E41" s="49"/>
      <c r="F41" s="49"/>
      <c r="G41" s="49"/>
      <c r="H41" s="49"/>
      <c r="I41" s="49"/>
      <c r="J41" s="49"/>
      <c r="K41" s="49"/>
      <c r="L41" s="49"/>
    </row>
  </sheetData>
  <sheetProtection algorithmName="SHA-512" hashValue="w6j6z7EEwqiV3a/N92qLn4HCmJ+Li7AeDdwuvTHq9RK8n1N5WeBAwKLLf4M6lTNJkM7WX9IZDaVN37CWPg4yEQ==" saltValue="/lcWdSRiuE+/ilKhueD06A==" spinCount="100000" sheet="1" objects="1" scenarios="1"/>
  <mergeCells count="25">
    <mergeCell ref="C1:L1"/>
    <mergeCell ref="B4:B5"/>
    <mergeCell ref="C4:D5"/>
    <mergeCell ref="H4:H5"/>
    <mergeCell ref="I4:I5"/>
    <mergeCell ref="J4:J5"/>
    <mergeCell ref="K4:K5"/>
    <mergeCell ref="E4:G5"/>
    <mergeCell ref="C6:D6"/>
    <mergeCell ref="C7:D7"/>
    <mergeCell ref="C8:D8"/>
    <mergeCell ref="C9:D9"/>
    <mergeCell ref="E9:G9"/>
    <mergeCell ref="E6:G6"/>
    <mergeCell ref="E7:G7"/>
    <mergeCell ref="E8:G8"/>
    <mergeCell ref="B28:B29"/>
    <mergeCell ref="C28:C29"/>
    <mergeCell ref="E28:L28"/>
    <mergeCell ref="C10:D10"/>
    <mergeCell ref="E10:G10"/>
    <mergeCell ref="B11:D11"/>
    <mergeCell ref="B14:B15"/>
    <mergeCell ref="C14:C15"/>
    <mergeCell ref="E14:L14"/>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D32" sqref="D3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2" t="s">
        <v>59</v>
      </c>
      <c r="C1" s="235" t="s">
        <v>89</v>
      </c>
      <c r="D1" s="202"/>
      <c r="E1" s="202"/>
      <c r="F1" s="202"/>
      <c r="G1" s="202"/>
      <c r="H1" s="202"/>
      <c r="I1" s="202"/>
      <c r="J1" s="202"/>
      <c r="K1" s="202"/>
      <c r="L1" s="202"/>
      <c r="N1" s="112" t="s">
        <v>296</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4" t="str">
        <f>IF((COUNTIFS(D2:L2,"&gt;3")+COUNTIFS(D2:L2,"&lt;-3"))&gt;0,"Patikrinkite duomenis, turtas iš viso nėra lygus nuosavybei ir įsipareigojimams iš viso","ok")</f>
        <v>ok</v>
      </c>
    </row>
    <row r="3" spans="2:15" s="2" customFormat="1" ht="14.25" x14ac:dyDescent="0.25">
      <c r="B3" s="202" t="s">
        <v>405</v>
      </c>
      <c r="C3" s="405" t="s">
        <v>844</v>
      </c>
      <c r="D3" s="202"/>
      <c r="E3" s="202"/>
      <c r="F3" s="202"/>
      <c r="G3" s="202"/>
      <c r="H3" s="202"/>
      <c r="I3" s="202"/>
      <c r="J3" s="202"/>
      <c r="K3" s="202"/>
      <c r="L3" s="202"/>
      <c r="M3" s="52"/>
      <c r="N3" s="172"/>
    </row>
    <row r="4" spans="2:15" x14ac:dyDescent="0.25">
      <c r="N4" s="172"/>
    </row>
    <row r="5" spans="2:15"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M5" s="54"/>
      <c r="N5" s="172"/>
    </row>
    <row r="6" spans="2:15"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5" ht="15.75" thickTop="1" x14ac:dyDescent="0.25">
      <c r="B7" s="236"/>
      <c r="C7" s="237" t="s">
        <v>92</v>
      </c>
      <c r="D7" s="238"/>
      <c r="E7" s="239"/>
      <c r="F7" s="239"/>
      <c r="G7" s="239"/>
      <c r="H7" s="239"/>
      <c r="I7" s="239"/>
      <c r="J7" s="239"/>
      <c r="K7" s="239"/>
      <c r="L7" s="240"/>
      <c r="N7" s="172"/>
    </row>
    <row r="8" spans="2:15"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5" x14ac:dyDescent="0.25">
      <c r="B9" s="56" t="s">
        <v>573</v>
      </c>
      <c r="C9" s="18" t="s">
        <v>95</v>
      </c>
      <c r="D9" s="123">
        <f>'6'!D59</f>
        <v>0</v>
      </c>
      <c r="E9" s="123">
        <f>'6'!E59</f>
        <v>0</v>
      </c>
      <c r="F9" s="123">
        <f>'6'!F59</f>
        <v>0</v>
      </c>
      <c r="G9" s="123">
        <f>'6'!G59</f>
        <v>0</v>
      </c>
      <c r="H9" s="123">
        <f>'6'!H59</f>
        <v>0</v>
      </c>
      <c r="I9" s="123">
        <f>'6'!I59</f>
        <v>0</v>
      </c>
      <c r="J9" s="123">
        <f>'6'!J59</f>
        <v>0</v>
      </c>
      <c r="K9" s="123">
        <f>'6'!K59</f>
        <v>0</v>
      </c>
      <c r="L9" s="123">
        <f>'6'!L59</f>
        <v>0</v>
      </c>
      <c r="M9" s="55"/>
      <c r="N9" s="172"/>
      <c r="O9" s="57"/>
    </row>
    <row r="10" spans="2:15" x14ac:dyDescent="0.25">
      <c r="B10" s="56" t="s">
        <v>574</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5" x14ac:dyDescent="0.25">
      <c r="B11" s="56" t="s">
        <v>757</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5" x14ac:dyDescent="0.25">
      <c r="B12" s="56" t="s">
        <v>729</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5" x14ac:dyDescent="0.25">
      <c r="B13" s="56" t="s">
        <v>758</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5" x14ac:dyDescent="0.25">
      <c r="B14" s="56" t="s">
        <v>759</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5" x14ac:dyDescent="0.25">
      <c r="B15" s="56" t="s">
        <v>760</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5" x14ac:dyDescent="0.25">
      <c r="B16" s="56" t="s">
        <v>761</v>
      </c>
      <c r="C16" s="18" t="s">
        <v>99</v>
      </c>
      <c r="D16" s="145"/>
      <c r="E16" s="145"/>
      <c r="F16" s="145"/>
      <c r="G16" s="145"/>
      <c r="H16" s="145"/>
      <c r="I16" s="145"/>
      <c r="J16" s="145"/>
      <c r="K16" s="145"/>
      <c r="L16" s="145"/>
      <c r="N16" s="172" t="s">
        <v>579</v>
      </c>
    </row>
    <row r="17" spans="2:14" ht="24" x14ac:dyDescent="0.25">
      <c r="B17" s="56" t="s">
        <v>762</v>
      </c>
      <c r="C17" s="306" t="s">
        <v>443</v>
      </c>
      <c r="D17" s="152"/>
      <c r="E17" s="152"/>
      <c r="F17" s="152"/>
      <c r="G17" s="152"/>
      <c r="H17" s="152"/>
      <c r="I17" s="152"/>
      <c r="J17" s="152"/>
      <c r="K17" s="152"/>
      <c r="L17" s="152"/>
      <c r="N17" s="172" t="s">
        <v>453</v>
      </c>
    </row>
    <row r="18" spans="2:14" x14ac:dyDescent="0.25">
      <c r="B18" s="56" t="s">
        <v>575</v>
      </c>
      <c r="C18" s="18" t="s">
        <v>100</v>
      </c>
      <c r="D18" s="145"/>
      <c r="E18" s="145"/>
      <c r="F18" s="145"/>
      <c r="G18" s="145"/>
      <c r="H18" s="145"/>
      <c r="I18" s="145"/>
      <c r="J18" s="145"/>
      <c r="K18" s="145"/>
      <c r="L18" s="145"/>
      <c r="N18" s="172" t="s">
        <v>593</v>
      </c>
    </row>
    <row r="19" spans="2:14" x14ac:dyDescent="0.25">
      <c r="B19" s="56" t="s">
        <v>576</v>
      </c>
      <c r="C19" s="18" t="s">
        <v>102</v>
      </c>
      <c r="D19" s="145"/>
      <c r="E19" s="145"/>
      <c r="F19" s="145"/>
      <c r="G19" s="145"/>
      <c r="H19" s="145"/>
      <c r="I19" s="145"/>
      <c r="J19" s="145"/>
      <c r="K19" s="145"/>
      <c r="L19" s="145"/>
      <c r="N19" s="172" t="s">
        <v>416</v>
      </c>
    </row>
    <row r="20" spans="2:14" x14ac:dyDescent="0.25">
      <c r="B20" s="195" t="s">
        <v>104</v>
      </c>
      <c r="C20" s="196" t="s">
        <v>105</v>
      </c>
      <c r="D20" s="295">
        <f t="shared" ref="D20:L20" si="3">SUM(D21,D28,D31,D32)</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4" x14ac:dyDescent="0.25">
      <c r="B21" s="56" t="s">
        <v>730</v>
      </c>
      <c r="C21" s="18" t="s">
        <v>106</v>
      </c>
      <c r="D21" s="123">
        <f t="shared" ref="D21:L21" si="4">SUM(D22:D27)</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4" x14ac:dyDescent="0.25">
      <c r="B22" s="56" t="s">
        <v>731</v>
      </c>
      <c r="C22" s="18" t="s">
        <v>107</v>
      </c>
      <c r="D22" s="145"/>
      <c r="E22" s="145"/>
      <c r="F22" s="145"/>
      <c r="G22" s="145"/>
      <c r="H22" s="145"/>
      <c r="I22" s="145"/>
      <c r="J22" s="145"/>
      <c r="K22" s="145"/>
      <c r="L22" s="145"/>
      <c r="N22" s="172"/>
    </row>
    <row r="23" spans="2:14" x14ac:dyDescent="0.25">
      <c r="B23" s="56" t="s">
        <v>732</v>
      </c>
      <c r="C23" s="18" t="s">
        <v>108</v>
      </c>
      <c r="D23" s="145"/>
      <c r="E23" s="145"/>
      <c r="F23" s="145"/>
      <c r="G23" s="145"/>
      <c r="H23" s="145"/>
      <c r="I23" s="145"/>
      <c r="J23" s="145"/>
      <c r="K23" s="145"/>
      <c r="L23" s="145"/>
      <c r="N23" s="172"/>
    </row>
    <row r="24" spans="2:14" x14ac:dyDescent="0.25">
      <c r="B24" s="56" t="s">
        <v>733</v>
      </c>
      <c r="C24" s="18" t="s">
        <v>109</v>
      </c>
      <c r="D24" s="145"/>
      <c r="E24" s="145"/>
      <c r="F24" s="145"/>
      <c r="G24" s="145"/>
      <c r="H24" s="145"/>
      <c r="I24" s="145"/>
      <c r="J24" s="145"/>
      <c r="K24" s="145"/>
      <c r="L24" s="145"/>
      <c r="M24" s="54"/>
      <c r="N24" s="172"/>
    </row>
    <row r="25" spans="2:14" x14ac:dyDescent="0.25">
      <c r="B25" s="56" t="s">
        <v>734</v>
      </c>
      <c r="C25" s="18" t="s">
        <v>110</v>
      </c>
      <c r="D25" s="145"/>
      <c r="E25" s="145"/>
      <c r="F25" s="145"/>
      <c r="G25" s="145"/>
      <c r="H25" s="145"/>
      <c r="I25" s="145"/>
      <c r="J25" s="145"/>
      <c r="K25" s="145"/>
      <c r="L25" s="145"/>
      <c r="N25" s="172" t="s">
        <v>449</v>
      </c>
    </row>
    <row r="26" spans="2:14" x14ac:dyDescent="0.25">
      <c r="B26" s="56" t="s">
        <v>735</v>
      </c>
      <c r="C26" s="18" t="s">
        <v>103</v>
      </c>
      <c r="D26" s="145"/>
      <c r="E26" s="145"/>
      <c r="F26" s="145"/>
      <c r="G26" s="145"/>
      <c r="H26" s="145"/>
      <c r="I26" s="145"/>
      <c r="J26" s="145"/>
      <c r="K26" s="145"/>
      <c r="L26" s="145"/>
      <c r="M26" s="55"/>
      <c r="N26" s="172"/>
    </row>
    <row r="27" spans="2:14" x14ac:dyDescent="0.25">
      <c r="B27" s="56" t="s">
        <v>736</v>
      </c>
      <c r="C27" s="18" t="s">
        <v>96</v>
      </c>
      <c r="D27" s="145"/>
      <c r="E27" s="145"/>
      <c r="F27" s="145"/>
      <c r="G27" s="145"/>
      <c r="H27" s="145"/>
      <c r="I27" s="145"/>
      <c r="J27" s="145"/>
      <c r="K27" s="145"/>
      <c r="L27" s="145"/>
      <c r="N27" s="172"/>
    </row>
    <row r="28" spans="2:14" ht="24" x14ac:dyDescent="0.25">
      <c r="B28" s="56" t="s">
        <v>737</v>
      </c>
      <c r="C28" s="18" t="s">
        <v>111</v>
      </c>
      <c r="D28" s="123">
        <f t="shared" ref="D28:L28" si="5">SUM(D29:D30)</f>
        <v>0</v>
      </c>
      <c r="E28" s="123">
        <f t="shared" si="5"/>
        <v>0</v>
      </c>
      <c r="F28" s="123">
        <f t="shared" si="5"/>
        <v>0</v>
      </c>
      <c r="G28" s="123">
        <f t="shared" si="5"/>
        <v>0</v>
      </c>
      <c r="H28" s="123">
        <f t="shared" si="5"/>
        <v>0</v>
      </c>
      <c r="I28" s="123">
        <f t="shared" si="5"/>
        <v>0</v>
      </c>
      <c r="J28" s="123">
        <f t="shared" si="5"/>
        <v>0</v>
      </c>
      <c r="K28" s="123">
        <f t="shared" si="5"/>
        <v>0</v>
      </c>
      <c r="L28" s="123">
        <f t="shared" si="5"/>
        <v>0</v>
      </c>
      <c r="N28" s="172"/>
    </row>
    <row r="29" spans="2:14" x14ac:dyDescent="0.25">
      <c r="B29" s="56" t="s">
        <v>738</v>
      </c>
      <c r="C29" s="18" t="s">
        <v>112</v>
      </c>
      <c r="D29" s="121"/>
      <c r="E29" s="145"/>
      <c r="F29" s="145"/>
      <c r="G29" s="145"/>
      <c r="H29" s="145"/>
      <c r="I29" s="145"/>
      <c r="J29" s="145"/>
      <c r="K29" s="145"/>
      <c r="L29" s="145"/>
      <c r="N29" s="172"/>
    </row>
    <row r="30" spans="2:14" x14ac:dyDescent="0.25">
      <c r="B30" s="56" t="s">
        <v>739</v>
      </c>
      <c r="C30" s="18" t="s">
        <v>113</v>
      </c>
      <c r="D30" s="121"/>
      <c r="E30" s="145"/>
      <c r="F30" s="145"/>
      <c r="G30" s="145"/>
      <c r="H30" s="145"/>
      <c r="I30" s="145"/>
      <c r="J30" s="145"/>
      <c r="K30" s="145"/>
      <c r="L30" s="145"/>
      <c r="N30" s="172"/>
    </row>
    <row r="31" spans="2:14" x14ac:dyDescent="0.25">
      <c r="B31" s="56" t="s">
        <v>740</v>
      </c>
      <c r="C31" s="18" t="s">
        <v>114</v>
      </c>
      <c r="D31" s="121"/>
      <c r="E31" s="145"/>
      <c r="F31" s="145"/>
      <c r="G31" s="145"/>
      <c r="H31" s="145"/>
      <c r="I31" s="145"/>
      <c r="J31" s="145"/>
      <c r="K31" s="145"/>
      <c r="L31" s="145"/>
      <c r="M31" s="55"/>
      <c r="N31" s="172"/>
    </row>
    <row r="32" spans="2:14" x14ac:dyDescent="0.25">
      <c r="B32" s="56" t="s">
        <v>741</v>
      </c>
      <c r="C32" s="18" t="s">
        <v>115</v>
      </c>
      <c r="D32" s="121"/>
      <c r="E32" s="287">
        <f>+'9.3'!E64</f>
        <v>0</v>
      </c>
      <c r="F32" s="287">
        <f>+'9.3'!F64</f>
        <v>0</v>
      </c>
      <c r="G32" s="287">
        <f>+'9.3'!G64</f>
        <v>0</v>
      </c>
      <c r="H32" s="287">
        <f>+'9.3'!H64</f>
        <v>0</v>
      </c>
      <c r="I32" s="287">
        <f>+'9.3'!I64</f>
        <v>0</v>
      </c>
      <c r="J32" s="287">
        <f>+'9.3'!J64</f>
        <v>0</v>
      </c>
      <c r="K32" s="287">
        <f>+'9.3'!K64</f>
        <v>0</v>
      </c>
      <c r="L32" s="287">
        <f>+'9.3'!L64</f>
        <v>0</v>
      </c>
      <c r="M32" s="55"/>
      <c r="N32" s="126" t="str">
        <f>IF(COUNTIFS(D32:L32,"&lt;0")&gt;0,"Klaida! Pinigų likutis negali būti neigiamas!","ok")</f>
        <v>ok</v>
      </c>
    </row>
    <row r="33" spans="2:14" ht="24" x14ac:dyDescent="0.25">
      <c r="B33" s="195" t="s">
        <v>116</v>
      </c>
      <c r="C33" s="196" t="s">
        <v>117</v>
      </c>
      <c r="D33" s="302"/>
      <c r="E33" s="292"/>
      <c r="F33" s="292"/>
      <c r="G33" s="292"/>
      <c r="H33" s="292"/>
      <c r="I33" s="292"/>
      <c r="J33" s="292"/>
      <c r="K33" s="292"/>
      <c r="L33" s="292"/>
      <c r="M33" s="55"/>
      <c r="N33" s="126" t="str">
        <f>IF(ABS(D32-'9.3'!D64)&gt;1,"Klaida! Ataskaitiniais metais pinigų likutis balanse ir pinigų srautų ataskaitoje nesutampa","ok")</f>
        <v>ok</v>
      </c>
    </row>
    <row r="34" spans="2:14" s="5" customFormat="1" ht="14.65" customHeight="1" thickBot="1" x14ac:dyDescent="0.3">
      <c r="B34" s="319"/>
      <c r="C34" s="319" t="s">
        <v>118</v>
      </c>
      <c r="D34" s="255">
        <f t="shared" ref="D34:L34" si="6">SUM(D8,D20,D33)</f>
        <v>0</v>
      </c>
      <c r="E34" s="255">
        <f t="shared" si="6"/>
        <v>0</v>
      </c>
      <c r="F34" s="255">
        <f t="shared" si="6"/>
        <v>0</v>
      </c>
      <c r="G34" s="255">
        <f t="shared" si="6"/>
        <v>0</v>
      </c>
      <c r="H34" s="255">
        <f t="shared" si="6"/>
        <v>0</v>
      </c>
      <c r="I34" s="255">
        <f t="shared" si="6"/>
        <v>0</v>
      </c>
      <c r="J34" s="255">
        <f t="shared" si="6"/>
        <v>0</v>
      </c>
      <c r="K34" s="255">
        <f t="shared" si="6"/>
        <v>0</v>
      </c>
      <c r="L34" s="255">
        <f t="shared" si="6"/>
        <v>0</v>
      </c>
      <c r="M34" s="55"/>
      <c r="N34" s="172"/>
    </row>
    <row r="35" spans="2:14" ht="15.75" thickTop="1" x14ac:dyDescent="0.25">
      <c r="B35" s="55"/>
      <c r="C35" s="55"/>
      <c r="D35" s="153"/>
      <c r="E35" s="153"/>
      <c r="F35" s="153"/>
      <c r="G35" s="153"/>
      <c r="H35" s="153"/>
      <c r="I35" s="153"/>
      <c r="J35" s="153"/>
      <c r="K35" s="153"/>
      <c r="L35" s="153"/>
      <c r="M35" s="55"/>
      <c r="N35" s="172"/>
    </row>
    <row r="36" spans="2:14" ht="24" x14ac:dyDescent="0.25">
      <c r="B36" s="243"/>
      <c r="C36" s="196" t="s">
        <v>119</v>
      </c>
      <c r="D36" s="244"/>
      <c r="E36" s="244"/>
      <c r="F36" s="244"/>
      <c r="G36" s="244"/>
      <c r="H36" s="244"/>
      <c r="I36" s="244"/>
      <c r="J36" s="244"/>
      <c r="K36" s="244"/>
      <c r="L36" s="245"/>
      <c r="M36" s="55"/>
      <c r="N36" s="172"/>
    </row>
    <row r="37" spans="2:14" x14ac:dyDescent="0.25">
      <c r="B37" s="195" t="s">
        <v>120</v>
      </c>
      <c r="C37" s="246" t="s">
        <v>121</v>
      </c>
      <c r="D37" s="301">
        <f>SUM(D38,D42:D45)</f>
        <v>0</v>
      </c>
      <c r="E37" s="301">
        <f t="shared" ref="E37:L37" si="7">SUM(E38,E42:E45)</f>
        <v>0</v>
      </c>
      <c r="F37" s="301">
        <f t="shared" si="7"/>
        <v>0</v>
      </c>
      <c r="G37" s="301">
        <f t="shared" si="7"/>
        <v>0</v>
      </c>
      <c r="H37" s="301">
        <f t="shared" si="7"/>
        <v>0</v>
      </c>
      <c r="I37" s="301">
        <f t="shared" si="7"/>
        <v>0</v>
      </c>
      <c r="J37" s="301">
        <f t="shared" si="7"/>
        <v>0</v>
      </c>
      <c r="K37" s="301">
        <f t="shared" si="7"/>
        <v>0</v>
      </c>
      <c r="L37" s="301">
        <f t="shared" si="7"/>
        <v>0</v>
      </c>
      <c r="M37" s="55"/>
      <c r="N37" s="172"/>
    </row>
    <row r="38" spans="2:14" x14ac:dyDescent="0.25">
      <c r="B38" s="56" t="s">
        <v>742</v>
      </c>
      <c r="C38" s="18" t="s">
        <v>122</v>
      </c>
      <c r="D38" s="123">
        <f>SUM(D39:D41)</f>
        <v>0</v>
      </c>
      <c r="E38" s="123">
        <f>SUM(E39:E41)</f>
        <v>0</v>
      </c>
      <c r="F38" s="123">
        <f t="shared" ref="F38:L38" si="8">SUM(F39:F41)</f>
        <v>0</v>
      </c>
      <c r="G38" s="123">
        <f t="shared" si="8"/>
        <v>0</v>
      </c>
      <c r="H38" s="123">
        <f t="shared" si="8"/>
        <v>0</v>
      </c>
      <c r="I38" s="123">
        <f t="shared" si="8"/>
        <v>0</v>
      </c>
      <c r="J38" s="123">
        <f t="shared" si="8"/>
        <v>0</v>
      </c>
      <c r="K38" s="123">
        <f t="shared" si="8"/>
        <v>0</v>
      </c>
      <c r="L38" s="123">
        <f t="shared" si="8"/>
        <v>0</v>
      </c>
      <c r="M38" s="55"/>
      <c r="N38" s="172"/>
    </row>
    <row r="39" spans="2:14" x14ac:dyDescent="0.25">
      <c r="B39" s="56" t="s">
        <v>743</v>
      </c>
      <c r="C39" s="18" t="s">
        <v>123</v>
      </c>
      <c r="D39" s="380">
        <f>+D34-D40-D41-D48-D45-D44-D50-D65-D42-D43-D49</f>
        <v>0</v>
      </c>
      <c r="E39" s="123">
        <f>+D39+'9.3'!E43+'9.3'!E45</f>
        <v>0</v>
      </c>
      <c r="F39" s="123">
        <f>+E39+'9.3'!F43+'9.3'!F45</f>
        <v>0</v>
      </c>
      <c r="G39" s="123">
        <f>+F39+'9.3'!G43+'9.3'!G45</f>
        <v>0</v>
      </c>
      <c r="H39" s="123">
        <f>+G39+'9.3'!H43+'9.3'!H45</f>
        <v>0</v>
      </c>
      <c r="I39" s="123">
        <f>+H39+'9.3'!I43+'9.3'!I45</f>
        <v>0</v>
      </c>
      <c r="J39" s="123">
        <f>+I39+'9.3'!J43+'9.3'!J45</f>
        <v>0</v>
      </c>
      <c r="K39" s="123">
        <f>+J39+'9.3'!K43+'9.3'!K45</f>
        <v>0</v>
      </c>
      <c r="L39" s="123">
        <f>+K39+'9.3'!L43+'9.3'!L45</f>
        <v>0</v>
      </c>
      <c r="M39" s="55"/>
      <c r="N39" s="172" t="s">
        <v>1030</v>
      </c>
    </row>
    <row r="40" spans="2:14" x14ac:dyDescent="0.25">
      <c r="B40" s="56" t="s">
        <v>744</v>
      </c>
      <c r="C40" s="18" t="s">
        <v>124</v>
      </c>
      <c r="D40" s="145"/>
      <c r="E40" s="145"/>
      <c r="F40" s="145"/>
      <c r="G40" s="145"/>
      <c r="H40" s="145"/>
      <c r="I40" s="145"/>
      <c r="J40" s="145"/>
      <c r="K40" s="145"/>
      <c r="L40" s="145"/>
      <c r="N40" s="172" t="s">
        <v>593</v>
      </c>
    </row>
    <row r="41" spans="2:14" x14ac:dyDescent="0.25">
      <c r="B41" s="56" t="s">
        <v>745</v>
      </c>
      <c r="C41" s="18" t="s">
        <v>125</v>
      </c>
      <c r="D41" s="145"/>
      <c r="E41" s="145"/>
      <c r="F41" s="145"/>
      <c r="G41" s="145"/>
      <c r="H41" s="145"/>
      <c r="I41" s="145"/>
      <c r="J41" s="145"/>
      <c r="K41" s="145"/>
      <c r="L41" s="145"/>
      <c r="N41" s="172" t="s">
        <v>593</v>
      </c>
    </row>
    <row r="42" spans="2:14" x14ac:dyDescent="0.25">
      <c r="B42" s="56" t="s">
        <v>746</v>
      </c>
      <c r="C42" s="18" t="s">
        <v>126</v>
      </c>
      <c r="D42" s="145"/>
      <c r="E42" s="145"/>
      <c r="F42" s="145"/>
      <c r="G42" s="145"/>
      <c r="H42" s="145"/>
      <c r="I42" s="145"/>
      <c r="J42" s="145"/>
      <c r="K42" s="145"/>
      <c r="L42" s="145"/>
      <c r="N42" s="172" t="s">
        <v>593</v>
      </c>
    </row>
    <row r="43" spans="2:14" x14ac:dyDescent="0.25">
      <c r="B43" s="56" t="s">
        <v>747</v>
      </c>
      <c r="C43" s="18" t="s">
        <v>127</v>
      </c>
      <c r="D43" s="145"/>
      <c r="E43" s="145"/>
      <c r="F43" s="145"/>
      <c r="G43" s="145"/>
      <c r="H43" s="145"/>
      <c r="I43" s="145"/>
      <c r="J43" s="145"/>
      <c r="K43" s="145"/>
      <c r="L43" s="145"/>
      <c r="N43" s="172" t="s">
        <v>593</v>
      </c>
    </row>
    <row r="44" spans="2:14" x14ac:dyDescent="0.25">
      <c r="B44" s="56" t="s">
        <v>748</v>
      </c>
      <c r="C44" s="18" t="s">
        <v>128</v>
      </c>
      <c r="D44" s="145"/>
      <c r="E44" s="145"/>
      <c r="F44" s="145"/>
      <c r="G44" s="145"/>
      <c r="H44" s="145"/>
      <c r="I44" s="145"/>
      <c r="J44" s="145"/>
      <c r="K44" s="145"/>
      <c r="L44" s="145"/>
      <c r="N44" s="172" t="s">
        <v>593</v>
      </c>
    </row>
    <row r="45" spans="2:14" ht="24" x14ac:dyDescent="0.25">
      <c r="B45" s="56" t="s">
        <v>749</v>
      </c>
      <c r="C45" s="18" t="s">
        <v>129</v>
      </c>
      <c r="D45" s="287">
        <f>SUM(D46:D47)</f>
        <v>0</v>
      </c>
      <c r="E45" s="287">
        <f>SUM(E46:E47)</f>
        <v>0</v>
      </c>
      <c r="F45" s="287">
        <f t="shared" ref="F45:L45" si="9">SUM(F46:F47)</f>
        <v>0</v>
      </c>
      <c r="G45" s="287">
        <f t="shared" si="9"/>
        <v>0</v>
      </c>
      <c r="H45" s="287">
        <f t="shared" si="9"/>
        <v>0</v>
      </c>
      <c r="I45" s="287">
        <f t="shared" si="9"/>
        <v>0</v>
      </c>
      <c r="J45" s="287">
        <f t="shared" si="9"/>
        <v>0</v>
      </c>
      <c r="K45" s="287">
        <f t="shared" si="9"/>
        <v>0</v>
      </c>
      <c r="L45" s="287">
        <f t="shared" si="9"/>
        <v>0</v>
      </c>
      <c r="N45" s="172"/>
    </row>
    <row r="46" spans="2:14" x14ac:dyDescent="0.25">
      <c r="B46" s="56" t="s">
        <v>750</v>
      </c>
      <c r="C46" s="18" t="s">
        <v>130</v>
      </c>
      <c r="D46" s="380">
        <f>'9.2'!D24+'9.3'!D44</f>
        <v>0</v>
      </c>
      <c r="E46" s="287">
        <f>'9.2'!E24+'9.3'!E44</f>
        <v>0</v>
      </c>
      <c r="F46" s="287">
        <f>'9.2'!F24+'9.3'!F44</f>
        <v>0</v>
      </c>
      <c r="G46" s="287">
        <f>'9.2'!G24+'9.3'!G44</f>
        <v>0</v>
      </c>
      <c r="H46" s="287">
        <f>'9.2'!H24+'9.3'!H44</f>
        <v>0</v>
      </c>
      <c r="I46" s="287">
        <f>'9.2'!I24+'9.3'!I44</f>
        <v>0</v>
      </c>
      <c r="J46" s="287">
        <f>'9.2'!J24+'9.3'!J44</f>
        <v>0</v>
      </c>
      <c r="K46" s="287">
        <f>'9.2'!K24+'9.3'!K44</f>
        <v>0</v>
      </c>
      <c r="L46" s="287">
        <f>'9.2'!L24+'9.3'!L44</f>
        <v>0</v>
      </c>
      <c r="N46" s="172" t="s">
        <v>1030</v>
      </c>
    </row>
    <row r="47" spans="2:14" x14ac:dyDescent="0.25">
      <c r="B47" s="56" t="s">
        <v>751</v>
      </c>
      <c r="C47" s="18" t="s">
        <v>131</v>
      </c>
      <c r="D47" s="145"/>
      <c r="E47" s="287">
        <f>D45</f>
        <v>0</v>
      </c>
      <c r="F47" s="287">
        <f>E45</f>
        <v>0</v>
      </c>
      <c r="G47" s="287">
        <f t="shared" ref="G47:L47" si="10">F45</f>
        <v>0</v>
      </c>
      <c r="H47" s="287">
        <f t="shared" si="10"/>
        <v>0</v>
      </c>
      <c r="I47" s="287">
        <f t="shared" si="10"/>
        <v>0</v>
      </c>
      <c r="J47" s="287">
        <f t="shared" si="10"/>
        <v>0</v>
      </c>
      <c r="K47" s="287">
        <f t="shared" si="10"/>
        <v>0</v>
      </c>
      <c r="L47" s="287">
        <f t="shared" si="10"/>
        <v>0</v>
      </c>
      <c r="N47" s="172"/>
    </row>
    <row r="48" spans="2:14" x14ac:dyDescent="0.25">
      <c r="B48" s="195" t="s">
        <v>132</v>
      </c>
      <c r="C48" s="196" t="s">
        <v>133</v>
      </c>
      <c r="D48" s="292"/>
      <c r="E48" s="294">
        <f>D48+'9.3'!E58+'7'!D13</f>
        <v>0</v>
      </c>
      <c r="F48" s="294">
        <f>E48+'9.3'!F58+'7'!E13</f>
        <v>0</v>
      </c>
      <c r="G48" s="294">
        <f>F48+'9.3'!G58+'7'!F13</f>
        <v>0</v>
      </c>
      <c r="H48" s="294">
        <f>G48+'9.3'!H58+'7'!G13</f>
        <v>0</v>
      </c>
      <c r="I48" s="294">
        <f>H48+'9.3'!I58+'7'!H13</f>
        <v>0</v>
      </c>
      <c r="J48" s="294">
        <f>I48+'9.3'!J58+'7'!I13</f>
        <v>0</v>
      </c>
      <c r="K48" s="294">
        <f>J48+'9.3'!K58+'7'!J13</f>
        <v>0</v>
      </c>
      <c r="L48" s="294">
        <f>K48+'9.3'!L58+'7'!K13</f>
        <v>0</v>
      </c>
      <c r="M48" s="55"/>
      <c r="N48" s="126" t="str">
        <f>IF(COUNTIFS(D48:L48,"&lt;0")&gt;1,"Klaida! Dotacijų likutis negali būti neigiamas!","ok")</f>
        <v>ok</v>
      </c>
    </row>
    <row r="49" spans="2:14" x14ac:dyDescent="0.25">
      <c r="B49" s="195" t="s">
        <v>134</v>
      </c>
      <c r="C49" s="196" t="s">
        <v>135</v>
      </c>
      <c r="D49" s="302"/>
      <c r="E49" s="302"/>
      <c r="F49" s="302"/>
      <c r="G49" s="302"/>
      <c r="H49" s="302"/>
      <c r="I49" s="302"/>
      <c r="J49" s="302"/>
      <c r="K49" s="302"/>
      <c r="L49" s="302"/>
      <c r="N49" s="172"/>
    </row>
    <row r="50" spans="2:14" ht="24" x14ac:dyDescent="0.25">
      <c r="B50" s="195" t="s">
        <v>136</v>
      </c>
      <c r="C50" s="196" t="s">
        <v>137</v>
      </c>
      <c r="D50" s="294">
        <f t="shared" ref="D50:L50" si="11">SUM(D51,D57)</f>
        <v>0</v>
      </c>
      <c r="E50" s="294">
        <f t="shared" si="11"/>
        <v>0</v>
      </c>
      <c r="F50" s="294">
        <f t="shared" si="11"/>
        <v>0</v>
      </c>
      <c r="G50" s="294">
        <f t="shared" si="11"/>
        <v>0</v>
      </c>
      <c r="H50" s="294">
        <f t="shared" si="11"/>
        <v>0</v>
      </c>
      <c r="I50" s="294">
        <f t="shared" si="11"/>
        <v>0</v>
      </c>
      <c r="J50" s="294">
        <f t="shared" si="11"/>
        <v>0</v>
      </c>
      <c r="K50" s="294">
        <f t="shared" si="11"/>
        <v>0</v>
      </c>
      <c r="L50" s="294">
        <f t="shared" si="11"/>
        <v>0</v>
      </c>
      <c r="N50" s="172"/>
    </row>
    <row r="51" spans="2:14" ht="36" x14ac:dyDescent="0.25">
      <c r="B51" s="56" t="s">
        <v>752</v>
      </c>
      <c r="C51" s="18" t="s">
        <v>138</v>
      </c>
      <c r="D51" s="287">
        <f>SUM(D52:D56)</f>
        <v>0</v>
      </c>
      <c r="E51" s="287">
        <f t="shared" ref="E51:L51" si="12">SUM(E52:E56)</f>
        <v>0</v>
      </c>
      <c r="F51" s="287">
        <f t="shared" si="12"/>
        <v>0</v>
      </c>
      <c r="G51" s="287">
        <f t="shared" si="12"/>
        <v>0</v>
      </c>
      <c r="H51" s="287">
        <f t="shared" si="12"/>
        <v>0</v>
      </c>
      <c r="I51" s="287">
        <f t="shared" si="12"/>
        <v>0</v>
      </c>
      <c r="J51" s="287">
        <f t="shared" si="12"/>
        <v>0</v>
      </c>
      <c r="K51" s="287">
        <f t="shared" si="12"/>
        <v>0</v>
      </c>
      <c r="L51" s="287">
        <f t="shared" si="12"/>
        <v>0</v>
      </c>
      <c r="M51" s="55"/>
      <c r="N51" s="172"/>
    </row>
    <row r="52" spans="2:14" x14ac:dyDescent="0.25">
      <c r="B52" s="56" t="s">
        <v>753</v>
      </c>
      <c r="C52" s="18" t="s">
        <v>139</v>
      </c>
      <c r="D52" s="287">
        <f>'8'!D33-D58</f>
        <v>0</v>
      </c>
      <c r="E52" s="287">
        <f>'8'!E33-E58</f>
        <v>0</v>
      </c>
      <c r="F52" s="287">
        <f>'8'!F33-F58</f>
        <v>0</v>
      </c>
      <c r="G52" s="287">
        <f>'8'!G33-G58</f>
        <v>0</v>
      </c>
      <c r="H52" s="287">
        <f>'8'!H33-H58</f>
        <v>0</v>
      </c>
      <c r="I52" s="287">
        <f>'8'!I33-I58</f>
        <v>0</v>
      </c>
      <c r="J52" s="287">
        <f>'8'!J33-J58</f>
        <v>0</v>
      </c>
      <c r="K52" s="287">
        <f>'8'!K33-K58</f>
        <v>0</v>
      </c>
      <c r="L52" s="287">
        <f>'8'!L33-L58</f>
        <v>0</v>
      </c>
      <c r="N52" s="172" t="s">
        <v>415</v>
      </c>
    </row>
    <row r="53" spans="2:14" x14ac:dyDescent="0.25">
      <c r="B53" s="56" t="s">
        <v>754</v>
      </c>
      <c r="C53" s="18" t="s">
        <v>140</v>
      </c>
      <c r="D53" s="380">
        <f>'8'!D17+'8'!D19-'8'!D21-'8'!D24</f>
        <v>0</v>
      </c>
      <c r="E53" s="287">
        <f>'8'!E17+'8'!E19-'8'!E21-'8'!E24</f>
        <v>0</v>
      </c>
      <c r="F53" s="287">
        <f>'8'!F17+'8'!F19-'8'!F21-'8'!F24</f>
        <v>0</v>
      </c>
      <c r="G53" s="287">
        <f>'8'!G17+'8'!G19-'8'!G21-'8'!G24</f>
        <v>0</v>
      </c>
      <c r="H53" s="287">
        <f>'8'!H17+'8'!H19-'8'!H21-'8'!H24</f>
        <v>0</v>
      </c>
      <c r="I53" s="287">
        <f>'8'!I17+'8'!I19-'8'!I21-'8'!I24</f>
        <v>0</v>
      </c>
      <c r="J53" s="287">
        <f>'8'!J17+'8'!J19-'8'!J21-'8'!J24</f>
        <v>0</v>
      </c>
      <c r="K53" s="287">
        <f>'8'!K17+'8'!K19-'8'!K21-'8'!K24</f>
        <v>0</v>
      </c>
      <c r="L53" s="287">
        <f>'8'!L17+'8'!L19-'8'!L21-'8'!L24</f>
        <v>0</v>
      </c>
      <c r="M53" s="55"/>
      <c r="N53" s="172" t="s">
        <v>435</v>
      </c>
    </row>
    <row r="54" spans="2:14" x14ac:dyDescent="0.25">
      <c r="B54" s="56" t="s">
        <v>755</v>
      </c>
      <c r="C54" s="18" t="s">
        <v>141</v>
      </c>
      <c r="D54" s="145"/>
      <c r="E54" s="145"/>
      <c r="F54" s="145"/>
      <c r="G54" s="145"/>
      <c r="H54" s="145"/>
      <c r="I54" s="145"/>
      <c r="J54" s="145"/>
      <c r="K54" s="145"/>
      <c r="L54" s="145"/>
      <c r="N54" s="172"/>
    </row>
    <row r="55" spans="2:14" x14ac:dyDescent="0.25">
      <c r="B55" s="56" t="s">
        <v>756</v>
      </c>
      <c r="C55" s="18" t="s">
        <v>142</v>
      </c>
      <c r="D55" s="145"/>
      <c r="E55" s="145"/>
      <c r="F55" s="145"/>
      <c r="G55" s="145"/>
      <c r="H55" s="145"/>
      <c r="I55" s="145"/>
      <c r="J55" s="145"/>
      <c r="K55" s="145"/>
      <c r="L55" s="145"/>
      <c r="N55" s="172"/>
    </row>
    <row r="56" spans="2:14" ht="24" x14ac:dyDescent="0.25">
      <c r="B56" s="56" t="s">
        <v>763</v>
      </c>
      <c r="C56" s="18" t="s">
        <v>143</v>
      </c>
      <c r="D56" s="145"/>
      <c r="E56" s="145"/>
      <c r="F56" s="145"/>
      <c r="G56" s="145"/>
      <c r="H56" s="145"/>
      <c r="I56" s="145"/>
      <c r="J56" s="145"/>
      <c r="K56" s="145"/>
      <c r="L56" s="145"/>
      <c r="M56" s="173"/>
      <c r="N56" s="172" t="s">
        <v>577</v>
      </c>
    </row>
    <row r="57" spans="2:14" ht="36" x14ac:dyDescent="0.25">
      <c r="B57" s="56" t="s">
        <v>764</v>
      </c>
      <c r="C57" s="18" t="s">
        <v>144</v>
      </c>
      <c r="D57" s="287">
        <f t="shared" ref="D57:L57" si="13">SUM(D58:D64)</f>
        <v>0</v>
      </c>
      <c r="E57" s="287">
        <f t="shared" si="13"/>
        <v>0</v>
      </c>
      <c r="F57" s="287">
        <f t="shared" si="13"/>
        <v>0</v>
      </c>
      <c r="G57" s="287">
        <f t="shared" si="13"/>
        <v>0</v>
      </c>
      <c r="H57" s="287">
        <f t="shared" si="13"/>
        <v>0</v>
      </c>
      <c r="I57" s="287">
        <f t="shared" si="13"/>
        <v>0</v>
      </c>
      <c r="J57" s="287">
        <f t="shared" si="13"/>
        <v>0</v>
      </c>
      <c r="K57" s="287">
        <f t="shared" si="13"/>
        <v>0</v>
      </c>
      <c r="L57" s="287">
        <f t="shared" si="13"/>
        <v>0</v>
      </c>
      <c r="N57" s="172"/>
    </row>
    <row r="58" spans="2:14" x14ac:dyDescent="0.25">
      <c r="B58" s="56" t="s">
        <v>765</v>
      </c>
      <c r="C58" s="18" t="s">
        <v>139</v>
      </c>
      <c r="D58" s="287">
        <f>'8'!D34</f>
        <v>0</v>
      </c>
      <c r="E58" s="287">
        <f>'8'!E34</f>
        <v>0</v>
      </c>
      <c r="F58" s="287">
        <f>'8'!F34</f>
        <v>0</v>
      </c>
      <c r="G58" s="287">
        <f>'8'!G34</f>
        <v>0</v>
      </c>
      <c r="H58" s="287">
        <f>'8'!H34</f>
        <v>0</v>
      </c>
      <c r="I58" s="287">
        <f>'8'!I34</f>
        <v>0</v>
      </c>
      <c r="J58" s="287">
        <f>'8'!J34</f>
        <v>0</v>
      </c>
      <c r="K58" s="287">
        <f>'8'!K34</f>
        <v>0</v>
      </c>
      <c r="L58" s="287">
        <f>'8'!L34</f>
        <v>0</v>
      </c>
      <c r="M58" s="58"/>
      <c r="N58" s="172" t="s">
        <v>444</v>
      </c>
    </row>
    <row r="59" spans="2:14" x14ac:dyDescent="0.25">
      <c r="B59" s="56" t="s">
        <v>766</v>
      </c>
      <c r="C59" s="18" t="s">
        <v>140</v>
      </c>
      <c r="D59" s="380">
        <f>'8'!D18+'8'!D20-'8'!D22+'8'!D24</f>
        <v>0</v>
      </c>
      <c r="E59" s="287">
        <f>'8'!E18+'8'!E20-'8'!E22+'8'!E24</f>
        <v>0</v>
      </c>
      <c r="F59" s="287">
        <f>'8'!F18+'8'!F20-'8'!F22+'8'!F24</f>
        <v>0</v>
      </c>
      <c r="G59" s="287">
        <f>'8'!G18+'8'!G20-'8'!G22+'8'!G24</f>
        <v>0</v>
      </c>
      <c r="H59" s="287">
        <f>'8'!H18+'8'!H20-'8'!H22+'8'!H24</f>
        <v>0</v>
      </c>
      <c r="I59" s="287">
        <f>'8'!I18+'8'!I20-'8'!I22+'8'!I24</f>
        <v>0</v>
      </c>
      <c r="J59" s="287">
        <f>'8'!J18+'8'!J20-'8'!J22+'8'!J24</f>
        <v>0</v>
      </c>
      <c r="K59" s="287">
        <f>'8'!K18+'8'!K20-'8'!K22+'8'!K24</f>
        <v>0</v>
      </c>
      <c r="L59" s="287">
        <f>'8'!L18+'8'!L20-'8'!L22+'8'!L24</f>
        <v>0</v>
      </c>
      <c r="M59" s="55"/>
      <c r="N59" s="172" t="s">
        <v>436</v>
      </c>
    </row>
    <row r="60" spans="2:14" x14ac:dyDescent="0.25">
      <c r="B60" s="56" t="s">
        <v>767</v>
      </c>
      <c r="C60" s="18" t="s">
        <v>141</v>
      </c>
      <c r="D60" s="121"/>
      <c r="E60" s="121"/>
      <c r="F60" s="121"/>
      <c r="G60" s="121"/>
      <c r="H60" s="121"/>
      <c r="I60" s="121"/>
      <c r="J60" s="121"/>
      <c r="K60" s="121"/>
      <c r="L60" s="121"/>
      <c r="N60" s="172"/>
    </row>
    <row r="61" spans="2:14" x14ac:dyDescent="0.25">
      <c r="B61" s="56" t="s">
        <v>768</v>
      </c>
      <c r="C61" s="18" t="s">
        <v>142</v>
      </c>
      <c r="D61" s="121"/>
      <c r="E61" s="121"/>
      <c r="F61" s="121"/>
      <c r="G61" s="121"/>
      <c r="H61" s="121"/>
      <c r="I61" s="121"/>
      <c r="J61" s="121"/>
      <c r="K61" s="121"/>
      <c r="L61" s="121"/>
      <c r="N61" s="172"/>
    </row>
    <row r="62" spans="2:14" x14ac:dyDescent="0.25">
      <c r="B62" s="56" t="s">
        <v>769</v>
      </c>
      <c r="C62" s="18" t="s">
        <v>145</v>
      </c>
      <c r="D62" s="121"/>
      <c r="E62" s="121"/>
      <c r="F62" s="121"/>
      <c r="G62" s="121"/>
      <c r="H62" s="121"/>
      <c r="I62" s="121"/>
      <c r="J62" s="121"/>
      <c r="K62" s="121"/>
      <c r="L62" s="121"/>
      <c r="N62" s="172"/>
    </row>
    <row r="63" spans="2:14" x14ac:dyDescent="0.25">
      <c r="B63" s="56" t="s">
        <v>770</v>
      </c>
      <c r="C63" s="18" t="s">
        <v>146</v>
      </c>
      <c r="D63" s="121"/>
      <c r="E63" s="121"/>
      <c r="F63" s="121"/>
      <c r="G63" s="121"/>
      <c r="H63" s="121"/>
      <c r="I63" s="121"/>
      <c r="J63" s="121"/>
      <c r="K63" s="121"/>
      <c r="L63" s="121"/>
      <c r="N63" s="172"/>
    </row>
    <row r="64" spans="2:14" ht="24" x14ac:dyDescent="0.25">
      <c r="B64" s="56" t="s">
        <v>771</v>
      </c>
      <c r="C64" s="18" t="s">
        <v>147</v>
      </c>
      <c r="D64" s="121"/>
      <c r="E64" s="121"/>
      <c r="F64" s="121"/>
      <c r="G64" s="121"/>
      <c r="H64" s="121"/>
      <c r="I64" s="121"/>
      <c r="J64" s="121"/>
      <c r="K64" s="121"/>
      <c r="L64" s="121"/>
      <c r="N64" s="172" t="s">
        <v>578</v>
      </c>
    </row>
    <row r="65" spans="2:16" ht="24" x14ac:dyDescent="0.25">
      <c r="B65" s="195" t="s">
        <v>148</v>
      </c>
      <c r="C65" s="196" t="s">
        <v>149</v>
      </c>
      <c r="D65" s="302"/>
      <c r="E65" s="302"/>
      <c r="F65" s="302"/>
      <c r="G65" s="302"/>
      <c r="H65" s="302"/>
      <c r="I65" s="302"/>
      <c r="J65" s="302"/>
      <c r="K65" s="302"/>
      <c r="L65" s="302"/>
      <c r="N65" s="307"/>
    </row>
    <row r="66" spans="2:16" s="60" customFormat="1" ht="23.25" customHeight="1" x14ac:dyDescent="0.25">
      <c r="B66" s="318"/>
      <c r="C66" s="318" t="s">
        <v>572</v>
      </c>
      <c r="D66" s="256">
        <f t="shared" ref="D66:L66" si="14">SUM(D37,D48,D49,D50,D65)</f>
        <v>0</v>
      </c>
      <c r="E66" s="256">
        <f t="shared" si="14"/>
        <v>0</v>
      </c>
      <c r="F66" s="256">
        <f t="shared" si="14"/>
        <v>0</v>
      </c>
      <c r="G66" s="256">
        <f t="shared" si="14"/>
        <v>0</v>
      </c>
      <c r="H66" s="256">
        <f t="shared" si="14"/>
        <v>0</v>
      </c>
      <c r="I66" s="256">
        <f t="shared" si="14"/>
        <v>0</v>
      </c>
      <c r="J66" s="256">
        <f t="shared" si="14"/>
        <v>0</v>
      </c>
      <c r="K66" s="256">
        <f t="shared" si="14"/>
        <v>0</v>
      </c>
      <c r="L66" s="256">
        <f t="shared" si="14"/>
        <v>0</v>
      </c>
      <c r="M66" s="59"/>
      <c r="N66" s="172"/>
      <c r="P66" s="3"/>
    </row>
  </sheetData>
  <sheetProtection algorithmName="SHA-512" hashValue="wlRCWsNs4aAMxn2Y0stJMHUQ180g2Qt1+ZLdKqfrcpvP1pBf2j+2YIXvRRuV5icqNpGI6vHoKAHiimfijehXRQ==" saltValue="gwiEO30RaoEbWubgQNYogA==" spinCount="100000" sheet="1" objects="1" scenarios="1"/>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D16" sqref="D16"/>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80" t="str">
        <f>IF((COUNTIFS(D2:L2,"&gt;3")+COUNTIFS(D2:L2,"&lt;-3"))&gt;0,"Patikrinkite duomenis, turtas iš viso nėra lygus nuosavybei ir įsipareigojimams iš viso","ok")</f>
        <v>ok</v>
      </c>
    </row>
    <row r="3" spans="2:14" x14ac:dyDescent="0.25">
      <c r="B3" s="202" t="s">
        <v>406</v>
      </c>
      <c r="C3" s="405" t="s">
        <v>845</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24.75" thickTop="1" x14ac:dyDescent="0.25">
      <c r="B7" s="62" t="s">
        <v>417</v>
      </c>
      <c r="C7" s="63" t="s">
        <v>151</v>
      </c>
      <c r="D7" s="122">
        <f>SUM(D8:D11)</f>
        <v>0</v>
      </c>
      <c r="E7" s="122">
        <f t="shared" ref="E7:L7" si="0">SUM(E8:E11)</f>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418</v>
      </c>
      <c r="C8" s="65" t="s">
        <v>241</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597</v>
      </c>
      <c r="C9" s="65" t="s">
        <v>242</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598</v>
      </c>
      <c r="C10" s="65" t="s">
        <v>244</v>
      </c>
      <c r="D10" s="122">
        <f>+'4'!D9</f>
        <v>0</v>
      </c>
      <c r="E10" s="122">
        <f>+'4'!E9</f>
        <v>0</v>
      </c>
      <c r="F10" s="122">
        <f>+'4'!F9</f>
        <v>0</v>
      </c>
      <c r="G10" s="122">
        <f>+'4'!G9</f>
        <v>0</v>
      </c>
      <c r="H10" s="122">
        <f>+'4'!H9</f>
        <v>0</v>
      </c>
      <c r="I10" s="122">
        <f>+'4'!I9</f>
        <v>0</v>
      </c>
      <c r="J10" s="122">
        <f>+'4'!J9</f>
        <v>0</v>
      </c>
      <c r="K10" s="122">
        <f>+'4'!K9</f>
        <v>0</v>
      </c>
      <c r="L10" s="122">
        <f>+'4'!L9</f>
        <v>0</v>
      </c>
      <c r="M10" s="64"/>
      <c r="N10" s="172"/>
    </row>
    <row r="11" spans="2:14" ht="24" x14ac:dyDescent="0.25">
      <c r="B11" s="21" t="s">
        <v>599</v>
      </c>
      <c r="C11" s="65" t="s">
        <v>152</v>
      </c>
      <c r="D11" s="121"/>
      <c r="E11" s="121"/>
      <c r="F11" s="121"/>
      <c r="G11" s="121"/>
      <c r="H11" s="121"/>
      <c r="I11" s="121"/>
      <c r="J11" s="121"/>
      <c r="K11" s="121"/>
      <c r="L11" s="121"/>
      <c r="M11" s="64"/>
      <c r="N11" s="172"/>
    </row>
    <row r="12" spans="2:14" x14ac:dyDescent="0.25">
      <c r="B12" s="21" t="s">
        <v>419</v>
      </c>
      <c r="C12" s="13" t="s">
        <v>153</v>
      </c>
      <c r="D12" s="287">
        <f>-'7'!C14</f>
        <v>0</v>
      </c>
      <c r="E12" s="287">
        <f>-'7'!D14</f>
        <v>0</v>
      </c>
      <c r="F12" s="287">
        <f>-'7'!E14</f>
        <v>0</v>
      </c>
      <c r="G12" s="287">
        <f>-'7'!F14</f>
        <v>0</v>
      </c>
      <c r="H12" s="287">
        <f>-'7'!G14</f>
        <v>0</v>
      </c>
      <c r="I12" s="287">
        <f>-'7'!H14</f>
        <v>0</v>
      </c>
      <c r="J12" s="287">
        <f>-'7'!I14</f>
        <v>0</v>
      </c>
      <c r="K12" s="287">
        <f>-'7'!J14</f>
        <v>0</v>
      </c>
      <c r="L12" s="287">
        <f>-'7'!K14</f>
        <v>0</v>
      </c>
      <c r="N12" s="172"/>
    </row>
    <row r="13" spans="2:14" x14ac:dyDescent="0.25">
      <c r="B13" s="21" t="s">
        <v>600</v>
      </c>
      <c r="C13" s="65" t="s">
        <v>154</v>
      </c>
      <c r="D13" s="121"/>
      <c r="E13" s="121"/>
      <c r="F13" s="121"/>
      <c r="G13" s="121"/>
      <c r="H13" s="121"/>
      <c r="I13" s="121"/>
      <c r="J13" s="121"/>
      <c r="K13" s="121"/>
      <c r="L13" s="121"/>
      <c r="M13" s="64"/>
      <c r="N13" s="172"/>
    </row>
    <row r="14" spans="2:14" x14ac:dyDescent="0.25">
      <c r="B14" s="21" t="s">
        <v>601</v>
      </c>
      <c r="C14" s="13" t="s">
        <v>155</v>
      </c>
      <c r="D14" s="287">
        <f>SUM(D7,D12,D13)</f>
        <v>0</v>
      </c>
      <c r="E14" s="287">
        <f t="shared" ref="E14:L14" si="1">SUM(E7,E12,E13)</f>
        <v>0</v>
      </c>
      <c r="F14" s="287">
        <f t="shared" si="1"/>
        <v>0</v>
      </c>
      <c r="G14" s="287">
        <f t="shared" si="1"/>
        <v>0</v>
      </c>
      <c r="H14" s="287">
        <f t="shared" si="1"/>
        <v>0</v>
      </c>
      <c r="I14" s="287">
        <f t="shared" si="1"/>
        <v>0</v>
      </c>
      <c r="J14" s="287">
        <f t="shared" si="1"/>
        <v>0</v>
      </c>
      <c r="K14" s="287">
        <f t="shared" si="1"/>
        <v>0</v>
      </c>
      <c r="L14" s="287">
        <f t="shared" si="1"/>
        <v>0</v>
      </c>
      <c r="N14" s="172"/>
    </row>
    <row r="15" spans="2:14" x14ac:dyDescent="0.25">
      <c r="B15" s="21" t="s">
        <v>602</v>
      </c>
      <c r="C15" s="13" t="s">
        <v>156</v>
      </c>
      <c r="D15" s="287">
        <f>-'7'!C21</f>
        <v>0</v>
      </c>
      <c r="E15" s="287">
        <f>-'7'!D21</f>
        <v>0</v>
      </c>
      <c r="F15" s="287">
        <f>-'7'!E21</f>
        <v>0</v>
      </c>
      <c r="G15" s="287">
        <f>-'7'!F21</f>
        <v>0</v>
      </c>
      <c r="H15" s="287">
        <f>-'7'!G21</f>
        <v>0</v>
      </c>
      <c r="I15" s="287">
        <f>-'7'!H21</f>
        <v>0</v>
      </c>
      <c r="J15" s="287">
        <f>-'7'!I21</f>
        <v>0</v>
      </c>
      <c r="K15" s="287">
        <f>-'7'!J21</f>
        <v>0</v>
      </c>
      <c r="L15" s="287">
        <f>-'7'!K21</f>
        <v>0</v>
      </c>
      <c r="N15" s="172"/>
    </row>
    <row r="16" spans="2:14" x14ac:dyDescent="0.25">
      <c r="B16" s="21" t="s">
        <v>603</v>
      </c>
      <c r="C16" s="13" t="s">
        <v>157</v>
      </c>
      <c r="D16" s="287">
        <f>-'7'!C29</f>
        <v>0</v>
      </c>
      <c r="E16" s="287">
        <f>-'7'!D29</f>
        <v>0</v>
      </c>
      <c r="F16" s="287">
        <f>-'7'!E29</f>
        <v>0</v>
      </c>
      <c r="G16" s="287">
        <f>-'7'!F29</f>
        <v>0</v>
      </c>
      <c r="H16" s="287">
        <f>-'7'!G29</f>
        <v>0</v>
      </c>
      <c r="I16" s="287">
        <f>-'7'!H29</f>
        <v>0</v>
      </c>
      <c r="J16" s="287">
        <f>-'7'!I29</f>
        <v>0</v>
      </c>
      <c r="K16" s="287">
        <f>-'7'!J29</f>
        <v>0</v>
      </c>
      <c r="L16" s="287">
        <f>-'7'!K29</f>
        <v>0</v>
      </c>
      <c r="N16" s="172"/>
    </row>
    <row r="17" spans="2:14" ht="24" x14ac:dyDescent="0.25">
      <c r="B17" s="21" t="s">
        <v>604</v>
      </c>
      <c r="C17" s="65" t="s">
        <v>580</v>
      </c>
      <c r="D17" s="287">
        <f>SUM(D14:D16)</f>
        <v>0</v>
      </c>
      <c r="E17" s="287">
        <f t="shared" ref="E17:L17" si="2">SUM(E14:E16)</f>
        <v>0</v>
      </c>
      <c r="F17" s="287">
        <f t="shared" si="2"/>
        <v>0</v>
      </c>
      <c r="G17" s="287">
        <f t="shared" si="2"/>
        <v>0</v>
      </c>
      <c r="H17" s="287">
        <f t="shared" si="2"/>
        <v>0</v>
      </c>
      <c r="I17" s="287">
        <f t="shared" si="2"/>
        <v>0</v>
      </c>
      <c r="J17" s="287">
        <f t="shared" si="2"/>
        <v>0</v>
      </c>
      <c r="K17" s="287">
        <f t="shared" si="2"/>
        <v>0</v>
      </c>
      <c r="L17" s="287">
        <f t="shared" si="2"/>
        <v>0</v>
      </c>
      <c r="N17" s="172"/>
    </row>
    <row r="18" spans="2:14" x14ac:dyDescent="0.25">
      <c r="B18" s="21" t="s">
        <v>605</v>
      </c>
      <c r="C18" s="65" t="s">
        <v>158</v>
      </c>
      <c r="D18" s="121"/>
      <c r="E18" s="121"/>
      <c r="F18" s="121"/>
      <c r="G18" s="121"/>
      <c r="H18" s="287"/>
      <c r="I18" s="287"/>
      <c r="J18" s="287"/>
      <c r="K18" s="287"/>
      <c r="L18" s="287"/>
      <c r="N18" s="172" t="s">
        <v>584</v>
      </c>
    </row>
    <row r="19" spans="2:14" x14ac:dyDescent="0.25">
      <c r="B19" s="21" t="s">
        <v>606</v>
      </c>
      <c r="C19" s="65" t="s">
        <v>581</v>
      </c>
      <c r="D19" s="121"/>
      <c r="E19" s="121"/>
      <c r="F19" s="121"/>
      <c r="G19" s="121"/>
      <c r="H19" s="121"/>
      <c r="I19" s="121"/>
      <c r="J19" s="121"/>
      <c r="K19" s="121"/>
      <c r="L19" s="121"/>
      <c r="N19" s="172" t="s">
        <v>583</v>
      </c>
    </row>
    <row r="20" spans="2:14" ht="24" x14ac:dyDescent="0.25">
      <c r="B20" s="21" t="s">
        <v>608</v>
      </c>
      <c r="C20" s="65" t="s">
        <v>969</v>
      </c>
      <c r="D20" s="121"/>
      <c r="E20" s="121"/>
      <c r="F20" s="121"/>
      <c r="G20" s="121"/>
      <c r="H20" s="121"/>
      <c r="I20" s="121"/>
      <c r="J20" s="121"/>
      <c r="K20" s="121"/>
      <c r="L20" s="121"/>
      <c r="N20" s="172" t="s">
        <v>585</v>
      </c>
    </row>
    <row r="21" spans="2:14" x14ac:dyDescent="0.25">
      <c r="B21" s="21" t="s">
        <v>609</v>
      </c>
      <c r="C21" s="13" t="s">
        <v>582</v>
      </c>
      <c r="D21" s="287">
        <f>-('8'!D25 + '8'!D35)</f>
        <v>0</v>
      </c>
      <c r="E21" s="287">
        <f>-('8'!E25 + '8'!E35)</f>
        <v>0</v>
      </c>
      <c r="F21" s="287">
        <f>-('8'!F25 + '8'!F35)</f>
        <v>0</v>
      </c>
      <c r="G21" s="287">
        <f>-('8'!G25 + '8'!G35)</f>
        <v>0</v>
      </c>
      <c r="H21" s="287">
        <f>-('8'!H25 + '8'!H35)</f>
        <v>0</v>
      </c>
      <c r="I21" s="287">
        <f>-('8'!I25 + '8'!I35)</f>
        <v>0</v>
      </c>
      <c r="J21" s="287">
        <f>-('8'!J25 + '8'!J35)</f>
        <v>0</v>
      </c>
      <c r="K21" s="287">
        <f>-('8'!K25 + '8'!K35)</f>
        <v>0</v>
      </c>
      <c r="L21" s="287">
        <f>-('8'!L25 + '8'!L35)</f>
        <v>0</v>
      </c>
      <c r="N21" s="172"/>
    </row>
    <row r="22" spans="2:14" ht="24" x14ac:dyDescent="0.25">
      <c r="B22" s="21" t="s">
        <v>607</v>
      </c>
      <c r="C22" s="13" t="s">
        <v>160</v>
      </c>
      <c r="D22" s="287">
        <f>SUM(D17:D21)</f>
        <v>0</v>
      </c>
      <c r="E22" s="287">
        <f t="shared" ref="E22:L22" si="3">SUM(E17:E21)</f>
        <v>0</v>
      </c>
      <c r="F22" s="287">
        <f t="shared" si="3"/>
        <v>0</v>
      </c>
      <c r="G22" s="287">
        <f t="shared" si="3"/>
        <v>0</v>
      </c>
      <c r="H22" s="287">
        <f t="shared" si="3"/>
        <v>0</v>
      </c>
      <c r="I22" s="287">
        <f t="shared" si="3"/>
        <v>0</v>
      </c>
      <c r="J22" s="287">
        <f t="shared" si="3"/>
        <v>0</v>
      </c>
      <c r="K22" s="287">
        <f t="shared" si="3"/>
        <v>0</v>
      </c>
      <c r="L22" s="287">
        <f t="shared" si="3"/>
        <v>0</v>
      </c>
      <c r="N22" s="172"/>
    </row>
    <row r="23" spans="2:14" x14ac:dyDescent="0.25">
      <c r="B23" s="21" t="s">
        <v>610</v>
      </c>
      <c r="C23" s="65" t="s">
        <v>161</v>
      </c>
      <c r="D23" s="121"/>
      <c r="E23" s="296">
        <f t="shared" ref="E23:L23" si="4">IF((E22-E11)&lt;0,0,-((E22-E11)*E26))</f>
        <v>0</v>
      </c>
      <c r="F23" s="296">
        <f t="shared" si="4"/>
        <v>0</v>
      </c>
      <c r="G23" s="296">
        <f t="shared" si="4"/>
        <v>0</v>
      </c>
      <c r="H23" s="296">
        <f t="shared" si="4"/>
        <v>0</v>
      </c>
      <c r="I23" s="296">
        <f t="shared" si="4"/>
        <v>0</v>
      </c>
      <c r="J23" s="296">
        <f t="shared" si="4"/>
        <v>0</v>
      </c>
      <c r="K23" s="296">
        <f t="shared" si="4"/>
        <v>0</v>
      </c>
      <c r="L23" s="296">
        <f t="shared" si="4"/>
        <v>0</v>
      </c>
      <c r="N23" s="172"/>
    </row>
    <row r="24" spans="2:14" x14ac:dyDescent="0.25">
      <c r="B24" s="320" t="s">
        <v>611</v>
      </c>
      <c r="C24" s="321" t="s">
        <v>721</v>
      </c>
      <c r="D24" s="322">
        <f t="shared" ref="D24:L24" si="5">SUM(D22,D23)</f>
        <v>0</v>
      </c>
      <c r="E24" s="322">
        <f t="shared" si="5"/>
        <v>0</v>
      </c>
      <c r="F24" s="322">
        <f t="shared" si="5"/>
        <v>0</v>
      </c>
      <c r="G24" s="322">
        <f t="shared" si="5"/>
        <v>0</v>
      </c>
      <c r="H24" s="322">
        <f t="shared" si="5"/>
        <v>0</v>
      </c>
      <c r="I24" s="322">
        <f t="shared" si="5"/>
        <v>0</v>
      </c>
      <c r="J24" s="322">
        <f t="shared" si="5"/>
        <v>0</v>
      </c>
      <c r="K24" s="322">
        <f t="shared" si="5"/>
        <v>0</v>
      </c>
      <c r="L24" s="322">
        <f t="shared" si="5"/>
        <v>0</v>
      </c>
      <c r="N24" s="172"/>
    </row>
    <row r="25" spans="2:14" x14ac:dyDescent="0.25">
      <c r="D25" s="154"/>
      <c r="E25" s="154"/>
      <c r="F25" s="154"/>
      <c r="G25" s="154"/>
      <c r="H25" s="154"/>
      <c r="I25" s="154"/>
      <c r="J25" s="154"/>
      <c r="K25" s="154"/>
      <c r="L25" s="154"/>
      <c r="N25" s="172"/>
    </row>
    <row r="26" spans="2:14" x14ac:dyDescent="0.25">
      <c r="B26" s="21" t="s">
        <v>612</v>
      </c>
      <c r="C26" s="13" t="s">
        <v>408</v>
      </c>
      <c r="D26" s="297" t="str">
        <f>IFERROR(-D23/D22,"-")</f>
        <v>-</v>
      </c>
      <c r="E26" s="155">
        <v>0.15</v>
      </c>
      <c r="F26" s="155">
        <v>0.15</v>
      </c>
      <c r="G26" s="155">
        <v>0.15</v>
      </c>
      <c r="H26" s="155">
        <v>0.15</v>
      </c>
      <c r="I26" s="155">
        <v>0.15</v>
      </c>
      <c r="J26" s="155">
        <v>0.15</v>
      </c>
      <c r="K26" s="155">
        <v>0.15</v>
      </c>
      <c r="L26" s="155">
        <v>0.15</v>
      </c>
      <c r="N26" s="172"/>
    </row>
    <row r="27" spans="2:14" ht="28.9" customHeight="1" x14ac:dyDescent="0.25">
      <c r="B27" s="21" t="s">
        <v>613</v>
      </c>
      <c r="C27" s="13" t="s">
        <v>409</v>
      </c>
      <c r="D27" s="533"/>
      <c r="E27" s="534"/>
      <c r="F27" s="534"/>
      <c r="G27" s="534"/>
      <c r="H27" s="534"/>
      <c r="I27" s="534"/>
      <c r="J27" s="534"/>
      <c r="K27" s="534"/>
      <c r="L27" s="535"/>
      <c r="N27" s="156" t="s">
        <v>410</v>
      </c>
    </row>
    <row r="30" spans="2:14" x14ac:dyDescent="0.25">
      <c r="D30" s="154"/>
    </row>
  </sheetData>
  <sheetProtection algorithmName="SHA-512" hashValue="aZBP9Uf7d6aMoxfKmoHmVV+eYkfxnEdcfm9GLoIFjf3tJv3tnTtf1REYBsTyEJ22Jm5xR6JFkg2FDlSYJE3PXg==" saltValue="Tlq3h/RmurZG93xUvjntcw==" spinCount="100000" sheet="1" objects="1" scenarios="1"/>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N13" sqref="N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296</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2" t="s">
        <v>407</v>
      </c>
      <c r="C3" s="405" t="s">
        <v>846</v>
      </c>
      <c r="D3" s="202"/>
      <c r="E3" s="202"/>
      <c r="F3" s="202"/>
      <c r="G3" s="202"/>
      <c r="H3" s="202"/>
      <c r="I3" s="202"/>
      <c r="J3" s="202"/>
      <c r="K3" s="202"/>
      <c r="L3" s="202"/>
      <c r="M3" s="52"/>
      <c r="N3" s="96"/>
    </row>
    <row r="4" spans="1:14" x14ac:dyDescent="0.25">
      <c r="A4" s="323"/>
      <c r="B4" s="323"/>
      <c r="C4" s="324"/>
      <c r="D4" s="323"/>
      <c r="E4" s="323"/>
      <c r="F4" s="323"/>
      <c r="G4" s="323"/>
      <c r="H4" s="323"/>
      <c r="I4" s="323"/>
      <c r="J4" s="323"/>
      <c r="K4" s="323"/>
      <c r="L4" s="323"/>
      <c r="N4" s="96"/>
    </row>
    <row r="5" spans="1:14" ht="24" x14ac:dyDescent="0.25">
      <c r="B5" s="494" t="s">
        <v>22</v>
      </c>
      <c r="C5" s="494" t="s">
        <v>44</v>
      </c>
      <c r="D5" s="193" t="str">
        <f>IF(AND('1'!$C$22="Verslo pradžia",YEAR('1'!$E$22)=YEAR('1'!$C$11)),"Pradžios metai","Ataskaitiniai metai")</f>
        <v>Ataskaitiniai metai</v>
      </c>
      <c r="E5" s="453" t="s">
        <v>12</v>
      </c>
      <c r="F5" s="454"/>
      <c r="G5" s="454"/>
      <c r="H5" s="454"/>
      <c r="I5" s="454"/>
      <c r="J5" s="454"/>
      <c r="K5" s="454"/>
      <c r="L5" s="455"/>
      <c r="N5" s="96"/>
    </row>
    <row r="6" spans="1:14" ht="15.75" thickBot="1" x14ac:dyDescent="0.3">
      <c r="B6" s="495"/>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513</v>
      </c>
      <c r="C7" s="290" t="s">
        <v>163</v>
      </c>
      <c r="D7" s="291"/>
      <c r="E7" s="291"/>
      <c r="F7" s="291"/>
      <c r="G7" s="291"/>
      <c r="H7" s="291"/>
      <c r="I7" s="291"/>
      <c r="J7" s="291"/>
      <c r="K7" s="291"/>
      <c r="L7" s="291"/>
      <c r="N7" s="96"/>
    </row>
    <row r="8" spans="1:14" x14ac:dyDescent="0.25">
      <c r="A8" s="11"/>
      <c r="B8" s="286" t="s">
        <v>538</v>
      </c>
      <c r="C8" s="18" t="s">
        <v>164</v>
      </c>
      <c r="D8" s="287">
        <f>'9.2'!D24</f>
        <v>0</v>
      </c>
      <c r="E8" s="287">
        <f>'9.2'!E24</f>
        <v>0</v>
      </c>
      <c r="F8" s="287">
        <f>'9.2'!F24</f>
        <v>0</v>
      </c>
      <c r="G8" s="287">
        <f>'9.2'!G24</f>
        <v>0</v>
      </c>
      <c r="H8" s="287">
        <f>'9.2'!H24</f>
        <v>0</v>
      </c>
      <c r="I8" s="287">
        <f>'9.2'!I24</f>
        <v>0</v>
      </c>
      <c r="J8" s="287">
        <f>'9.2'!J24</f>
        <v>0</v>
      </c>
      <c r="K8" s="287">
        <f>'9.2'!K24</f>
        <v>0</v>
      </c>
      <c r="L8" s="287">
        <f>'9.2'!L24</f>
        <v>0</v>
      </c>
      <c r="N8" s="96"/>
    </row>
    <row r="9" spans="1:14" x14ac:dyDescent="0.25">
      <c r="A9" s="11"/>
      <c r="B9" s="286" t="s">
        <v>539</v>
      </c>
      <c r="C9" s="18" t="s">
        <v>165</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540</v>
      </c>
      <c r="C10" s="18" t="s">
        <v>166</v>
      </c>
      <c r="D10" s="122">
        <f>-SUM('9.2'!D18)</f>
        <v>0</v>
      </c>
      <c r="E10" s="122">
        <f>-SUM('9.2'!E18)</f>
        <v>0</v>
      </c>
      <c r="F10" s="122">
        <f>-SUM('9.2'!F18)</f>
        <v>0</v>
      </c>
      <c r="G10" s="122">
        <f>-SUM('9.2'!G18)</f>
        <v>0</v>
      </c>
      <c r="H10" s="122">
        <f>-SUM('9.2'!H18)</f>
        <v>0</v>
      </c>
      <c r="I10" s="122">
        <f>-SUM('9.2'!I18)</f>
        <v>0</v>
      </c>
      <c r="J10" s="122">
        <f>-SUM('9.2'!J18)</f>
        <v>0</v>
      </c>
      <c r="K10" s="122">
        <f>-SUM('9.2'!K18)</f>
        <v>0</v>
      </c>
      <c r="L10" s="122">
        <f>-SUM('9.2'!L18)</f>
        <v>0</v>
      </c>
      <c r="N10" s="172"/>
    </row>
    <row r="11" spans="1:14" ht="24" x14ac:dyDescent="0.25">
      <c r="A11" s="11"/>
      <c r="B11" s="286" t="s">
        <v>541</v>
      </c>
      <c r="C11" s="306" t="s">
        <v>167</v>
      </c>
      <c r="D11" s="287">
        <f>-SUM('9.2'!D19:D21)</f>
        <v>0</v>
      </c>
      <c r="E11" s="287">
        <f>-SUM('9.2'!E19:E21)</f>
        <v>0</v>
      </c>
      <c r="F11" s="287">
        <f>-SUM('9.2'!F19:F21)</f>
        <v>0</v>
      </c>
      <c r="G11" s="287">
        <f>-SUM('9.2'!G19:G21)</f>
        <v>0</v>
      </c>
      <c r="H11" s="287">
        <f>-SUM('9.2'!H19:H21)</f>
        <v>0</v>
      </c>
      <c r="I11" s="287">
        <f>-SUM('9.2'!I19:I21)</f>
        <v>0</v>
      </c>
      <c r="J11" s="287">
        <f>-SUM('9.2'!J19:J21)</f>
        <v>0</v>
      </c>
      <c r="K11" s="287">
        <f>-SUM('9.2'!K19:K21)</f>
        <v>0</v>
      </c>
      <c r="L11" s="287">
        <f>-SUM('9.2'!L19:L21)</f>
        <v>0</v>
      </c>
      <c r="M11" s="55"/>
      <c r="N11" s="172"/>
    </row>
    <row r="12" spans="1:14" ht="24" x14ac:dyDescent="0.25">
      <c r="A12" s="11"/>
      <c r="B12" s="286" t="s">
        <v>542</v>
      </c>
      <c r="C12" s="18" t="s">
        <v>168</v>
      </c>
      <c r="D12" s="121"/>
      <c r="E12" s="122"/>
      <c r="F12" s="122"/>
      <c r="G12" s="122"/>
      <c r="H12" s="122"/>
      <c r="I12" s="122"/>
      <c r="J12" s="122"/>
      <c r="K12" s="122"/>
      <c r="L12" s="122"/>
      <c r="N12" s="172" t="s">
        <v>591</v>
      </c>
    </row>
    <row r="13" spans="1:14" ht="36" x14ac:dyDescent="0.25">
      <c r="A13" s="11"/>
      <c r="B13" s="286" t="s">
        <v>543</v>
      </c>
      <c r="C13" s="306" t="s">
        <v>169</v>
      </c>
      <c r="D13" s="121"/>
      <c r="E13" s="121"/>
      <c r="F13" s="121"/>
      <c r="G13" s="121"/>
      <c r="H13" s="121"/>
      <c r="I13" s="121"/>
      <c r="J13" s="121"/>
      <c r="K13" s="121"/>
      <c r="L13" s="121"/>
      <c r="M13" s="67"/>
      <c r="N13" s="172" t="s">
        <v>592</v>
      </c>
    </row>
    <row r="14" spans="1:14" ht="24" x14ac:dyDescent="0.25">
      <c r="A14" s="11"/>
      <c r="B14" s="286" t="s">
        <v>544</v>
      </c>
      <c r="C14" s="306" t="s">
        <v>170</v>
      </c>
      <c r="D14" s="121"/>
      <c r="E14" s="121"/>
      <c r="F14" s="121"/>
      <c r="G14" s="121"/>
      <c r="H14" s="121"/>
      <c r="I14" s="121"/>
      <c r="J14" s="121"/>
      <c r="K14" s="121"/>
      <c r="L14" s="121"/>
      <c r="M14" s="67"/>
      <c r="N14" s="172" t="s">
        <v>592</v>
      </c>
    </row>
    <row r="15" spans="1:14" ht="24" x14ac:dyDescent="0.25">
      <c r="A15" s="11"/>
      <c r="B15" s="286" t="s">
        <v>545</v>
      </c>
      <c r="C15" s="306" t="s">
        <v>594</v>
      </c>
      <c r="D15" s="121"/>
      <c r="E15" s="287">
        <f>-('9.1'!E19-'9.1'!D19)</f>
        <v>0</v>
      </c>
      <c r="F15" s="287">
        <f>-('9.1'!F19-'9.1'!E19)</f>
        <v>0</v>
      </c>
      <c r="G15" s="287">
        <f>-('9.1'!G19-'9.1'!F19)</f>
        <v>0</v>
      </c>
      <c r="H15" s="287">
        <f>-('9.1'!H19-'9.1'!G19)</f>
        <v>0</v>
      </c>
      <c r="I15" s="287">
        <f>-('9.1'!I19-'9.1'!H19)</f>
        <v>0</v>
      </c>
      <c r="J15" s="287">
        <f>-('9.1'!J19-'9.1'!I19)</f>
        <v>0</v>
      </c>
      <c r="K15" s="287">
        <f>-('9.1'!K19-'9.1'!J19)</f>
        <v>0</v>
      </c>
      <c r="L15" s="287">
        <f>-('9.1'!L19-'9.1'!K19)</f>
        <v>0</v>
      </c>
      <c r="M15" s="55"/>
      <c r="N15" s="96"/>
    </row>
    <row r="16" spans="1:14" ht="24" x14ac:dyDescent="0.25">
      <c r="A16" s="11"/>
      <c r="B16" s="286" t="s">
        <v>546</v>
      </c>
      <c r="C16" s="18" t="s">
        <v>171</v>
      </c>
      <c r="D16" s="121"/>
      <c r="E16" s="287">
        <f>-(('9.1'!E21-'9.1'!E27) - ('9.1'!D21-'9.1'!D27))</f>
        <v>0</v>
      </c>
      <c r="F16" s="287">
        <f>-(('9.1'!F21-'9.1'!F27) - ('9.1'!E21-'9.1'!E27))</f>
        <v>0</v>
      </c>
      <c r="G16" s="287">
        <f>-(('9.1'!G21-'9.1'!G27) - ('9.1'!F21-'9.1'!F27))</f>
        <v>0</v>
      </c>
      <c r="H16" s="287">
        <f>-(('9.1'!H21-'9.1'!H27) - ('9.1'!G21-'9.1'!G27))</f>
        <v>0</v>
      </c>
      <c r="I16" s="287">
        <f>-(('9.1'!I21-'9.1'!I27) - ('9.1'!H21-'9.1'!H27))</f>
        <v>0</v>
      </c>
      <c r="J16" s="287">
        <f>-(('9.1'!J21-'9.1'!J27) - ('9.1'!I21-'9.1'!I27))</f>
        <v>0</v>
      </c>
      <c r="K16" s="287">
        <f>-(('9.1'!K21-'9.1'!K27) - ('9.1'!J21-'9.1'!J27))</f>
        <v>0</v>
      </c>
      <c r="L16" s="287">
        <f>-(('9.1'!L21-'9.1'!L27) - ('9.1'!K21-'9.1'!K27))</f>
        <v>0</v>
      </c>
      <c r="N16" s="96"/>
    </row>
    <row r="17" spans="1:14" x14ac:dyDescent="0.25">
      <c r="A17" s="11"/>
      <c r="B17" s="286" t="s">
        <v>547</v>
      </c>
      <c r="C17" s="18" t="s">
        <v>172</v>
      </c>
      <c r="D17" s="121"/>
      <c r="E17" s="287">
        <f>-('9.1'!E27-'9.1'!D27)</f>
        <v>0</v>
      </c>
      <c r="F17" s="287">
        <f>-('9.1'!F27-'9.1'!E27)</f>
        <v>0</v>
      </c>
      <c r="G17" s="287">
        <f>-('9.1'!G27-'9.1'!F27)</f>
        <v>0</v>
      </c>
      <c r="H17" s="287">
        <f>-('9.1'!H27-'9.1'!G27)</f>
        <v>0</v>
      </c>
      <c r="I17" s="287">
        <f>-('9.1'!I27-'9.1'!H27)</f>
        <v>0</v>
      </c>
      <c r="J17" s="287">
        <f>-('9.1'!J27-'9.1'!I27)</f>
        <v>0</v>
      </c>
      <c r="K17" s="287">
        <f>-('9.1'!K27-'9.1'!J27)</f>
        <v>0</v>
      </c>
      <c r="L17" s="287">
        <f>-('9.1'!L27-'9.1'!K27)</f>
        <v>0</v>
      </c>
      <c r="N17" s="96"/>
    </row>
    <row r="18" spans="1:14" x14ac:dyDescent="0.25">
      <c r="A18" s="11"/>
      <c r="B18" s="286" t="s">
        <v>548</v>
      </c>
      <c r="C18" s="18" t="s">
        <v>173</v>
      </c>
      <c r="D18" s="121"/>
      <c r="E18" s="287">
        <f>-('9.1'!E29-'9.1'!D29)</f>
        <v>0</v>
      </c>
      <c r="F18" s="287">
        <f>-('9.1'!F29-'9.1'!E29)</f>
        <v>0</v>
      </c>
      <c r="G18" s="287">
        <f>-('9.1'!G29-'9.1'!F29)</f>
        <v>0</v>
      </c>
      <c r="H18" s="287">
        <f>-('9.1'!H29-'9.1'!G29)</f>
        <v>0</v>
      </c>
      <c r="I18" s="287">
        <f>-('9.1'!I29-'9.1'!H29)</f>
        <v>0</v>
      </c>
      <c r="J18" s="287">
        <f>-('9.1'!J29-'9.1'!I29)</f>
        <v>0</v>
      </c>
      <c r="K18" s="287">
        <f>-('9.1'!K29-'9.1'!J29)</f>
        <v>0</v>
      </c>
      <c r="L18" s="287">
        <f>-('9.1'!L29-'9.1'!K29)</f>
        <v>0</v>
      </c>
      <c r="N18" s="96"/>
    </row>
    <row r="19" spans="1:14" x14ac:dyDescent="0.25">
      <c r="A19" s="11"/>
      <c r="B19" s="286" t="s">
        <v>614</v>
      </c>
      <c r="C19" s="18" t="s">
        <v>174</v>
      </c>
      <c r="D19" s="121"/>
      <c r="E19" s="287">
        <f>-('9.1'!E30-'9.1'!D30)</f>
        <v>0</v>
      </c>
      <c r="F19" s="287">
        <f>-('9.1'!F30-'9.1'!E30)</f>
        <v>0</v>
      </c>
      <c r="G19" s="287">
        <f>-('9.1'!G30-'9.1'!F30)</f>
        <v>0</v>
      </c>
      <c r="H19" s="287">
        <f>-('9.1'!H30-'9.1'!G30)</f>
        <v>0</v>
      </c>
      <c r="I19" s="287">
        <f>-('9.1'!I30-'9.1'!H30)</f>
        <v>0</v>
      </c>
      <c r="J19" s="287">
        <f>-('9.1'!J30-'9.1'!I30)</f>
        <v>0</v>
      </c>
      <c r="K19" s="287">
        <f>-('9.1'!K30-'9.1'!J30)</f>
        <v>0</v>
      </c>
      <c r="L19" s="287">
        <f>-('9.1'!L30-'9.1'!K30)</f>
        <v>0</v>
      </c>
      <c r="N19" s="96"/>
    </row>
    <row r="20" spans="1:14" ht="24" x14ac:dyDescent="0.25">
      <c r="A20" s="11"/>
      <c r="B20" s="286" t="s">
        <v>549</v>
      </c>
      <c r="C20" s="18" t="s">
        <v>175</v>
      </c>
      <c r="D20" s="121"/>
      <c r="E20" s="287">
        <f>-('9.1'!E31-'9.1'!D31)</f>
        <v>0</v>
      </c>
      <c r="F20" s="287">
        <f>-('9.1'!F31-'9.1'!E31)</f>
        <v>0</v>
      </c>
      <c r="G20" s="287">
        <f>-('9.1'!G31-'9.1'!F31)</f>
        <v>0</v>
      </c>
      <c r="H20" s="287">
        <f>-('9.1'!H31-'9.1'!G31)</f>
        <v>0</v>
      </c>
      <c r="I20" s="287">
        <f>-('9.1'!I31-'9.1'!H31)</f>
        <v>0</v>
      </c>
      <c r="J20" s="287">
        <f>-('9.1'!J31-'9.1'!I31)</f>
        <v>0</v>
      </c>
      <c r="K20" s="287">
        <f>-('9.1'!K31-'9.1'!J31)</f>
        <v>0</v>
      </c>
      <c r="L20" s="287">
        <f>-('9.1'!L31-'9.1'!K31)</f>
        <v>0</v>
      </c>
      <c r="N20" s="96"/>
    </row>
    <row r="21" spans="1:14" ht="24" x14ac:dyDescent="0.25">
      <c r="A21" s="11"/>
      <c r="B21" s="286" t="s">
        <v>550</v>
      </c>
      <c r="C21" s="18" t="s">
        <v>176</v>
      </c>
      <c r="D21" s="121"/>
      <c r="E21" s="287">
        <f>-('9.1'!E33-'9.1'!D33)</f>
        <v>0</v>
      </c>
      <c r="F21" s="287">
        <f>-('9.1'!F33-'9.1'!E33)</f>
        <v>0</v>
      </c>
      <c r="G21" s="287">
        <f>-('9.1'!G33-'9.1'!F33)</f>
        <v>0</v>
      </c>
      <c r="H21" s="287">
        <f>-('9.1'!H33-'9.1'!G33)</f>
        <v>0</v>
      </c>
      <c r="I21" s="287">
        <f>-('9.1'!I33-'9.1'!H33)</f>
        <v>0</v>
      </c>
      <c r="J21" s="287">
        <f>-('9.1'!J33-'9.1'!I33)</f>
        <v>0</v>
      </c>
      <c r="K21" s="287">
        <f>-('9.1'!K33-'9.1'!J33)</f>
        <v>0</v>
      </c>
      <c r="L21" s="287">
        <f>-('9.1'!L33-'9.1'!K33)</f>
        <v>0</v>
      </c>
      <c r="N21" s="96"/>
    </row>
    <row r="22" spans="1:14" x14ac:dyDescent="0.25">
      <c r="A22" s="11"/>
      <c r="B22" s="286" t="s">
        <v>551</v>
      </c>
      <c r="C22" s="18" t="s">
        <v>177</v>
      </c>
      <c r="D22" s="121"/>
      <c r="E22" s="287">
        <f>'9.1'!E49-'9.1'!D49</f>
        <v>0</v>
      </c>
      <c r="F22" s="287">
        <f>'9.1'!F49-'9.1'!E49</f>
        <v>0</v>
      </c>
      <c r="G22" s="287">
        <f>'9.1'!G49-'9.1'!F49</f>
        <v>0</v>
      </c>
      <c r="H22" s="287">
        <f>'9.1'!H49-'9.1'!G49</f>
        <v>0</v>
      </c>
      <c r="I22" s="287">
        <f>'9.1'!I49-'9.1'!H49</f>
        <v>0</v>
      </c>
      <c r="J22" s="287">
        <f>'9.1'!J49-'9.1'!I49</f>
        <v>0</v>
      </c>
      <c r="K22" s="287">
        <f>'9.1'!K49-'9.1'!J49</f>
        <v>0</v>
      </c>
      <c r="L22" s="287">
        <f>'9.1'!L49-'9.1'!K49</f>
        <v>0</v>
      </c>
      <c r="N22" s="96"/>
    </row>
    <row r="23" spans="1:14" ht="24" x14ac:dyDescent="0.25">
      <c r="A23" s="11"/>
      <c r="B23" s="286" t="s">
        <v>552</v>
      </c>
      <c r="C23" s="18" t="s">
        <v>178</v>
      </c>
      <c r="D23" s="121"/>
      <c r="E23" s="287">
        <f>('9.1'!E54+'9.1'!E55)-('9.1'!D54+'9.1'!D55)</f>
        <v>0</v>
      </c>
      <c r="F23" s="287">
        <f>+('9.1'!F54+'9.1'!F55)-('9.1'!E54+'9.1'!E55)</f>
        <v>0</v>
      </c>
      <c r="G23" s="287">
        <f>+('9.1'!G54+'9.1'!G55)-('9.1'!F54+'9.1'!F55)</f>
        <v>0</v>
      </c>
      <c r="H23" s="287">
        <f>+('9.1'!H54+'9.1'!H55)-('9.1'!G54+'9.1'!G55)</f>
        <v>0</v>
      </c>
      <c r="I23" s="287">
        <f>+('9.1'!I54+'9.1'!I55)-('9.1'!H54+'9.1'!H55)</f>
        <v>0</v>
      </c>
      <c r="J23" s="287">
        <f>+('9.1'!J54+'9.1'!J55)-('9.1'!I54+'9.1'!I55)</f>
        <v>0</v>
      </c>
      <c r="K23" s="287">
        <f>+('9.1'!K54+'9.1'!K55)-('9.1'!J54+'9.1'!J55)</f>
        <v>0</v>
      </c>
      <c r="L23" s="287">
        <f>+('9.1'!L54+'9.1'!L55)-('9.1'!K54+'9.1'!K55)</f>
        <v>0</v>
      </c>
      <c r="N23" s="96"/>
    </row>
    <row r="24" spans="1:14" ht="24" x14ac:dyDescent="0.25">
      <c r="A24" s="11"/>
      <c r="B24" s="286" t="s">
        <v>553</v>
      </c>
      <c r="C24" s="18" t="s">
        <v>179</v>
      </c>
      <c r="D24" s="121"/>
      <c r="E24" s="287">
        <f>('9.1'!E61 + '9.1'!E60)-('9.1'!D61 + '9.1'!D60)</f>
        <v>0</v>
      </c>
      <c r="F24" s="287">
        <f>('9.1'!F61 + '9.1'!F60)-('9.1'!E61 + '9.1'!E60)</f>
        <v>0</v>
      </c>
      <c r="G24" s="287">
        <f>('9.1'!G61 + '9.1'!G60)-('9.1'!F61 + '9.1'!F60)</f>
        <v>0</v>
      </c>
      <c r="H24" s="287">
        <f>('9.1'!H61 + '9.1'!H60)-('9.1'!G61 + '9.1'!G60)</f>
        <v>0</v>
      </c>
      <c r="I24" s="287">
        <f>('9.1'!I61 + '9.1'!I60)-('9.1'!H61 + '9.1'!H60)</f>
        <v>0</v>
      </c>
      <c r="J24" s="287">
        <f>('9.1'!J61 + '9.1'!J60)-('9.1'!I61 + '9.1'!I60)</f>
        <v>0</v>
      </c>
      <c r="K24" s="287">
        <f>('9.1'!K61 + '9.1'!K60)-('9.1'!J61 + '9.1'!J60)</f>
        <v>0</v>
      </c>
      <c r="L24" s="287">
        <f>('9.1'!L61 + '9.1'!L60)-('9.1'!K61 + '9.1'!K60)</f>
        <v>0</v>
      </c>
      <c r="N24" s="96"/>
    </row>
    <row r="25" spans="1:14" ht="24" x14ac:dyDescent="0.25">
      <c r="A25" s="11"/>
      <c r="B25" s="286" t="s">
        <v>615</v>
      </c>
      <c r="C25" s="18" t="s">
        <v>180</v>
      </c>
      <c r="D25" s="121"/>
      <c r="E25" s="287">
        <f>'9.1'!E62-'9.1'!D62</f>
        <v>0</v>
      </c>
      <c r="F25" s="287">
        <f>'9.1'!F62-'9.1'!E62</f>
        <v>0</v>
      </c>
      <c r="G25" s="287">
        <f>'9.1'!G62-'9.1'!F62</f>
        <v>0</v>
      </c>
      <c r="H25" s="287">
        <f>'9.1'!H62-'9.1'!G62</f>
        <v>0</v>
      </c>
      <c r="I25" s="287">
        <f>'9.1'!I62-'9.1'!H62</f>
        <v>0</v>
      </c>
      <c r="J25" s="287">
        <f>'9.1'!J62-'9.1'!I62</f>
        <v>0</v>
      </c>
      <c r="K25" s="287">
        <f>'9.1'!K62-'9.1'!J62</f>
        <v>0</v>
      </c>
      <c r="L25" s="287">
        <f>'9.1'!L62-'9.1'!K62</f>
        <v>0</v>
      </c>
      <c r="N25" s="96"/>
    </row>
    <row r="26" spans="1:14" ht="24" x14ac:dyDescent="0.25">
      <c r="A26" s="11"/>
      <c r="B26" s="286" t="s">
        <v>554</v>
      </c>
      <c r="C26" s="18" t="s">
        <v>181</v>
      </c>
      <c r="D26" s="121"/>
      <c r="E26" s="287">
        <f>'9.1'!E63-'9.1'!D63</f>
        <v>0</v>
      </c>
      <c r="F26" s="287">
        <f>'9.1'!F63-'9.1'!E63</f>
        <v>0</v>
      </c>
      <c r="G26" s="287">
        <f>'9.1'!G63-'9.1'!F63</f>
        <v>0</v>
      </c>
      <c r="H26" s="287">
        <f>'9.1'!H63-'9.1'!G63</f>
        <v>0</v>
      </c>
      <c r="I26" s="287">
        <f>'9.1'!I63-'9.1'!H63</f>
        <v>0</v>
      </c>
      <c r="J26" s="287">
        <f>'9.1'!J63-'9.1'!I63</f>
        <v>0</v>
      </c>
      <c r="K26" s="287">
        <f>'9.1'!K63-'9.1'!J63</f>
        <v>0</v>
      </c>
      <c r="L26" s="287">
        <f>'9.1'!L63-'9.1'!K63</f>
        <v>0</v>
      </c>
      <c r="N26" s="96"/>
    </row>
    <row r="27" spans="1:14" ht="24" x14ac:dyDescent="0.25">
      <c r="A27" s="11"/>
      <c r="B27" s="286" t="s">
        <v>616</v>
      </c>
      <c r="C27" s="306" t="s">
        <v>182</v>
      </c>
      <c r="D27" s="121"/>
      <c r="E27" s="287">
        <f>('9.1'!E64+'9.1'!E56) - ('9.1'!D64+'9.1'!D56)</f>
        <v>0</v>
      </c>
      <c r="F27" s="287">
        <f>('9.1'!F64+'9.1'!F56) - ('9.1'!E64+'9.1'!E56)</f>
        <v>0</v>
      </c>
      <c r="G27" s="287">
        <f>('9.1'!G64+'9.1'!G56) - ('9.1'!F64+'9.1'!F56)</f>
        <v>0</v>
      </c>
      <c r="H27" s="287">
        <f>('9.1'!H64+'9.1'!H56) - ('9.1'!G64+'9.1'!G56)</f>
        <v>0</v>
      </c>
      <c r="I27" s="287">
        <f>('9.1'!I64+'9.1'!I56) - ('9.1'!H64+'9.1'!H56)</f>
        <v>0</v>
      </c>
      <c r="J27" s="287">
        <f>('9.1'!J64+'9.1'!J56) - ('9.1'!I64+'9.1'!I56)</f>
        <v>0</v>
      </c>
      <c r="K27" s="287">
        <f>('9.1'!K64+'9.1'!K56) - ('9.1'!J64+'9.1'!J56)</f>
        <v>0</v>
      </c>
      <c r="L27" s="287">
        <f>('9.1'!L64+'9.1'!L56) - ('9.1'!K64+'9.1'!K56)</f>
        <v>0</v>
      </c>
      <c r="N27" s="96"/>
    </row>
    <row r="28" spans="1:14" ht="24" x14ac:dyDescent="0.25">
      <c r="A28" s="11"/>
      <c r="B28" s="286" t="s">
        <v>617</v>
      </c>
      <c r="C28" s="18" t="s">
        <v>183</v>
      </c>
      <c r="D28" s="121"/>
      <c r="E28" s="287">
        <f>'9.1'!E65-'9.1'!D65</f>
        <v>0</v>
      </c>
      <c r="F28" s="287">
        <f>'9.1'!F65-'9.1'!E65</f>
        <v>0</v>
      </c>
      <c r="G28" s="287">
        <f>'9.1'!G65-'9.1'!F65</f>
        <v>0</v>
      </c>
      <c r="H28" s="287">
        <f>'9.1'!H65-'9.1'!G65</f>
        <v>0</v>
      </c>
      <c r="I28" s="287">
        <f>'9.1'!I65-'9.1'!H65</f>
        <v>0</v>
      </c>
      <c r="J28" s="287">
        <f>'9.1'!J65-'9.1'!I65</f>
        <v>0</v>
      </c>
      <c r="K28" s="287">
        <f>'9.1'!K65-'9.1'!J65</f>
        <v>0</v>
      </c>
      <c r="L28" s="287">
        <f>'9.1'!L65-'9.1'!K65</f>
        <v>0</v>
      </c>
      <c r="N28" s="96"/>
    </row>
    <row r="29" spans="1:14" ht="24" x14ac:dyDescent="0.25">
      <c r="A29" s="11"/>
      <c r="B29" s="288" t="s">
        <v>555</v>
      </c>
      <c r="C29" s="196" t="s">
        <v>184</v>
      </c>
      <c r="D29" s="294">
        <f>SUM(D8:D28)</f>
        <v>0</v>
      </c>
      <c r="E29" s="294">
        <f t="shared" ref="E29:L29" si="0">SUM(E8:E28)</f>
        <v>0</v>
      </c>
      <c r="F29" s="294">
        <f t="shared" si="0"/>
        <v>0</v>
      </c>
      <c r="G29" s="294">
        <f t="shared" si="0"/>
        <v>0</v>
      </c>
      <c r="H29" s="294">
        <f t="shared" si="0"/>
        <v>0</v>
      </c>
      <c r="I29" s="294">
        <f t="shared" si="0"/>
        <v>0</v>
      </c>
      <c r="J29" s="294">
        <f t="shared" si="0"/>
        <v>0</v>
      </c>
      <c r="K29" s="294">
        <f t="shared" si="0"/>
        <v>0</v>
      </c>
      <c r="L29" s="294">
        <f t="shared" si="0"/>
        <v>0</v>
      </c>
      <c r="N29" s="96"/>
    </row>
    <row r="30" spans="1:14" x14ac:dyDescent="0.25">
      <c r="A30" s="11"/>
      <c r="B30" s="288" t="s">
        <v>514</v>
      </c>
      <c r="C30" s="196" t="s">
        <v>185</v>
      </c>
      <c r="D30" s="254"/>
      <c r="E30" s="254"/>
      <c r="F30" s="254"/>
      <c r="G30" s="254"/>
      <c r="H30" s="254"/>
      <c r="I30" s="254"/>
      <c r="J30" s="254"/>
      <c r="K30" s="254"/>
      <c r="L30" s="254"/>
      <c r="N30" s="96"/>
    </row>
    <row r="31" spans="1:14" ht="24" x14ac:dyDescent="0.25">
      <c r="A31" s="11"/>
      <c r="B31" s="286" t="s">
        <v>556</v>
      </c>
      <c r="C31" s="18" t="s">
        <v>186</v>
      </c>
      <c r="D31" s="287">
        <f>-'6'!D62</f>
        <v>0</v>
      </c>
      <c r="E31" s="287">
        <f>-'6'!E62</f>
        <v>0</v>
      </c>
      <c r="F31" s="287">
        <f>-'6'!F62</f>
        <v>0</v>
      </c>
      <c r="G31" s="287">
        <f>-'6'!G62</f>
        <v>0</v>
      </c>
      <c r="H31" s="287">
        <f>-'6'!H62</f>
        <v>0</v>
      </c>
      <c r="I31" s="287">
        <f>-'6'!I62</f>
        <v>0</v>
      </c>
      <c r="J31" s="287">
        <f>-'6'!J62</f>
        <v>0</v>
      </c>
      <c r="K31" s="287">
        <f>-'6'!K62</f>
        <v>0</v>
      </c>
      <c r="L31" s="287">
        <f>-'6'!L62</f>
        <v>0</v>
      </c>
      <c r="N31" s="96"/>
    </row>
    <row r="32" spans="1:14" ht="24" x14ac:dyDescent="0.25">
      <c r="A32" s="11"/>
      <c r="B32" s="286" t="s">
        <v>557</v>
      </c>
      <c r="C32" s="18" t="s">
        <v>187</v>
      </c>
      <c r="D32" s="287"/>
      <c r="E32" s="287"/>
      <c r="F32" s="287"/>
      <c r="G32" s="287"/>
      <c r="H32" s="287"/>
      <c r="I32" s="287"/>
      <c r="J32" s="287"/>
      <c r="K32" s="287"/>
      <c r="L32" s="287"/>
      <c r="N32" s="172" t="s">
        <v>720</v>
      </c>
    </row>
    <row r="33" spans="1:14" x14ac:dyDescent="0.25">
      <c r="A33" s="11"/>
      <c r="B33" s="286" t="s">
        <v>558</v>
      </c>
      <c r="C33" s="18" t="s">
        <v>188</v>
      </c>
      <c r="D33" s="124"/>
      <c r="E33" s="124"/>
      <c r="F33" s="124"/>
      <c r="G33" s="124"/>
      <c r="H33" s="124"/>
      <c r="I33" s="124"/>
      <c r="J33" s="124"/>
      <c r="K33" s="124"/>
      <c r="L33" s="124"/>
      <c r="N33" s="172" t="s">
        <v>592</v>
      </c>
    </row>
    <row r="34" spans="1:14" x14ac:dyDescent="0.25">
      <c r="A34" s="11"/>
      <c r="B34" s="286" t="s">
        <v>559</v>
      </c>
      <c r="C34" s="18" t="s">
        <v>189</v>
      </c>
      <c r="D34" s="121"/>
      <c r="E34" s="121"/>
      <c r="F34" s="121"/>
      <c r="G34" s="121"/>
      <c r="H34" s="121"/>
      <c r="I34" s="121"/>
      <c r="J34" s="121"/>
      <c r="K34" s="121"/>
      <c r="L34" s="121"/>
      <c r="N34" s="172" t="s">
        <v>592</v>
      </c>
    </row>
    <row r="35" spans="1:14" x14ac:dyDescent="0.25">
      <c r="A35" s="11"/>
      <c r="B35" s="286" t="s">
        <v>560</v>
      </c>
      <c r="C35" s="18" t="s">
        <v>190</v>
      </c>
      <c r="D35" s="124"/>
      <c r="E35" s="124"/>
      <c r="F35" s="124"/>
      <c r="G35" s="124"/>
      <c r="H35" s="124"/>
      <c r="I35" s="124"/>
      <c r="J35" s="124"/>
      <c r="K35" s="124"/>
      <c r="L35" s="124"/>
      <c r="N35" s="172" t="s">
        <v>592</v>
      </c>
    </row>
    <row r="36" spans="1:14" x14ac:dyDescent="0.25">
      <c r="A36" s="11"/>
      <c r="B36" s="286" t="s">
        <v>561</v>
      </c>
      <c r="C36" s="18" t="s">
        <v>191</v>
      </c>
      <c r="D36" s="121"/>
      <c r="E36" s="121"/>
      <c r="F36" s="121"/>
      <c r="G36" s="121"/>
      <c r="H36" s="121"/>
      <c r="I36" s="121"/>
      <c r="J36" s="121"/>
      <c r="K36" s="121"/>
      <c r="L36" s="121"/>
      <c r="N36" s="172" t="s">
        <v>592</v>
      </c>
    </row>
    <row r="37" spans="1:14" x14ac:dyDescent="0.25">
      <c r="A37" s="11"/>
      <c r="B37" s="286" t="s">
        <v>562</v>
      </c>
      <c r="C37" s="18" t="s">
        <v>192</v>
      </c>
      <c r="D37" s="287">
        <f>'9.2'!D19</f>
        <v>0</v>
      </c>
      <c r="E37" s="287">
        <f>'9.2'!E19</f>
        <v>0</v>
      </c>
      <c r="F37" s="287">
        <f>'9.2'!F19</f>
        <v>0</v>
      </c>
      <c r="G37" s="287">
        <f>'9.2'!G19</f>
        <v>0</v>
      </c>
      <c r="H37" s="287">
        <f>'9.2'!H19</f>
        <v>0</v>
      </c>
      <c r="I37" s="287">
        <f>'9.2'!I19</f>
        <v>0</v>
      </c>
      <c r="J37" s="287">
        <f>'9.2'!J19</f>
        <v>0</v>
      </c>
      <c r="K37" s="287">
        <f>'9.2'!K19</f>
        <v>0</v>
      </c>
      <c r="L37" s="287">
        <f>'9.2'!L19</f>
        <v>0</v>
      </c>
      <c r="N37" s="172" t="s">
        <v>586</v>
      </c>
    </row>
    <row r="38" spans="1:14" ht="24" x14ac:dyDescent="0.25">
      <c r="A38" s="11"/>
      <c r="B38" s="286" t="s">
        <v>563</v>
      </c>
      <c r="C38" s="18" t="s">
        <v>193</v>
      </c>
      <c r="D38" s="380">
        <f>IF('9.2'!D18&gt;0,'9.2'!D18,0)</f>
        <v>0</v>
      </c>
      <c r="E38" s="287">
        <f>IF('9.2'!E18&gt;0,'9.2'!E18,0)</f>
        <v>0</v>
      </c>
      <c r="F38" s="287">
        <f>IF('9.2'!F18&gt;0,'9.2'!F18,0)</f>
        <v>0</v>
      </c>
      <c r="G38" s="287">
        <f>IF('9.2'!G18&gt;0,'9.2'!G18,0)</f>
        <v>0</v>
      </c>
      <c r="H38" s="287">
        <f>IF('9.2'!H18&gt;0,'9.2'!H18,0)</f>
        <v>0</v>
      </c>
      <c r="I38" s="287">
        <f>IF('9.2'!I18&gt;0,'9.2'!I18,0)</f>
        <v>0</v>
      </c>
      <c r="J38" s="287">
        <f>IF('9.2'!J18&gt;0,'9.2'!J18,0)</f>
        <v>0</v>
      </c>
      <c r="K38" s="287">
        <f>IF('9.2'!K18&gt;0,'9.2'!K18,0)</f>
        <v>0</v>
      </c>
      <c r="L38" s="287">
        <f>IF('9.2'!L18&gt;0,'9.2'!L18,0)</f>
        <v>0</v>
      </c>
      <c r="N38" s="172" t="s">
        <v>588</v>
      </c>
    </row>
    <row r="39" spans="1:14" ht="24" x14ac:dyDescent="0.25">
      <c r="A39" s="11"/>
      <c r="B39" s="286" t="s">
        <v>564</v>
      </c>
      <c r="C39" s="18" t="s">
        <v>194</v>
      </c>
      <c r="D39" s="380">
        <f>IF('9.2'!D18&lt;0,'9.2'!D18,0)</f>
        <v>0</v>
      </c>
      <c r="E39" s="287">
        <f>IF('9.2'!E18&lt;0,'9.2'!E18,0)</f>
        <v>0</v>
      </c>
      <c r="F39" s="287">
        <f>IF('9.2'!F18&lt;0,'9.2'!F18,0)</f>
        <v>0</v>
      </c>
      <c r="G39" s="287">
        <f>IF('9.2'!G18&lt;0,'9.2'!G18,0)</f>
        <v>0</v>
      </c>
      <c r="H39" s="287">
        <f>IF('9.2'!H18&lt;0,'9.2'!H18,0)</f>
        <v>0</v>
      </c>
      <c r="I39" s="287">
        <f>IF('9.2'!I18&lt;0,'9.2'!I18,0)</f>
        <v>0</v>
      </c>
      <c r="J39" s="287">
        <f>IF('9.2'!J18&lt;0,'9.2'!J18,0)</f>
        <v>0</v>
      </c>
      <c r="K39" s="287">
        <f>IF('9.2'!K18&lt;0,'9.2'!K18,0)</f>
        <v>0</v>
      </c>
      <c r="L39" s="287">
        <f>IF('9.2'!L18&lt;0,'9.2'!L18,0)</f>
        <v>0</v>
      </c>
      <c r="N39" s="172" t="s">
        <v>589</v>
      </c>
    </row>
    <row r="40" spans="1:14" ht="24" x14ac:dyDescent="0.25">
      <c r="A40" s="11"/>
      <c r="B40" s="288" t="s">
        <v>618</v>
      </c>
      <c r="C40" s="196" t="s">
        <v>195</v>
      </c>
      <c r="D40" s="295">
        <f>SUM(D31:D39)</f>
        <v>0</v>
      </c>
      <c r="E40" s="295">
        <f>SUM(E31:E39)</f>
        <v>0</v>
      </c>
      <c r="F40" s="295">
        <f>SUM(F31:F39)</f>
        <v>0</v>
      </c>
      <c r="G40" s="295">
        <f t="shared" ref="G40:L40" si="1">SUM(G31:G39)</f>
        <v>0</v>
      </c>
      <c r="H40" s="295">
        <f t="shared" si="1"/>
        <v>0</v>
      </c>
      <c r="I40" s="295">
        <f t="shared" si="1"/>
        <v>0</v>
      </c>
      <c r="J40" s="295">
        <f t="shared" si="1"/>
        <v>0</v>
      </c>
      <c r="K40" s="295">
        <f t="shared" si="1"/>
        <v>0</v>
      </c>
      <c r="L40" s="295">
        <f t="shared" si="1"/>
        <v>0</v>
      </c>
      <c r="N40" s="96"/>
    </row>
    <row r="41" spans="1:14" x14ac:dyDescent="0.25">
      <c r="A41" s="11"/>
      <c r="B41" s="288" t="s">
        <v>515</v>
      </c>
      <c r="C41" s="196" t="s">
        <v>196</v>
      </c>
      <c r="D41" s="254"/>
      <c r="E41" s="254"/>
      <c r="F41" s="254"/>
      <c r="G41" s="254"/>
      <c r="H41" s="254"/>
      <c r="I41" s="254"/>
      <c r="J41" s="254"/>
      <c r="K41" s="254"/>
      <c r="L41" s="254"/>
      <c r="N41" s="96"/>
    </row>
    <row r="42" spans="1:14" x14ac:dyDescent="0.25">
      <c r="A42" s="11"/>
      <c r="B42" s="286" t="s">
        <v>533</v>
      </c>
      <c r="C42" s="18" t="s">
        <v>197</v>
      </c>
      <c r="D42" s="123">
        <f>SUM(D43:D46)</f>
        <v>0</v>
      </c>
      <c r="E42" s="123">
        <f t="shared" ref="E42:L42" si="2">SUM(E43:E46)</f>
        <v>0</v>
      </c>
      <c r="F42" s="123">
        <f t="shared" si="2"/>
        <v>0</v>
      </c>
      <c r="G42" s="123">
        <f t="shared" si="2"/>
        <v>0</v>
      </c>
      <c r="H42" s="123">
        <f t="shared" si="2"/>
        <v>0</v>
      </c>
      <c r="I42" s="123">
        <f t="shared" si="2"/>
        <v>0</v>
      </c>
      <c r="J42" s="123">
        <f t="shared" si="2"/>
        <v>0</v>
      </c>
      <c r="K42" s="123">
        <f t="shared" si="2"/>
        <v>0</v>
      </c>
      <c r="L42" s="123">
        <f t="shared" si="2"/>
        <v>0</v>
      </c>
      <c r="N42" s="96"/>
    </row>
    <row r="43" spans="1:14" x14ac:dyDescent="0.25">
      <c r="A43" s="11"/>
      <c r="B43" s="286" t="s">
        <v>534</v>
      </c>
      <c r="C43" s="18" t="s">
        <v>198</v>
      </c>
      <c r="D43" s="121"/>
      <c r="E43" s="121"/>
      <c r="F43" s="121"/>
      <c r="G43" s="121"/>
      <c r="H43" s="123"/>
      <c r="I43" s="123"/>
      <c r="J43" s="123"/>
      <c r="K43" s="123"/>
      <c r="L43" s="123"/>
      <c r="M43" s="54"/>
      <c r="N43" s="172" t="s">
        <v>587</v>
      </c>
    </row>
    <row r="44" spans="1:14" x14ac:dyDescent="0.25">
      <c r="A44" s="11"/>
      <c r="B44" s="286" t="s">
        <v>535</v>
      </c>
      <c r="C44" s="18" t="s">
        <v>199</v>
      </c>
      <c r="D44" s="121"/>
      <c r="E44" s="121"/>
      <c r="F44" s="121"/>
      <c r="G44" s="121"/>
      <c r="H44" s="123"/>
      <c r="I44" s="123"/>
      <c r="J44" s="123"/>
      <c r="K44" s="123"/>
      <c r="L44" s="123"/>
      <c r="M44" s="55"/>
      <c r="N44" s="172" t="s">
        <v>587</v>
      </c>
    </row>
    <row r="45" spans="1:14" x14ac:dyDescent="0.25">
      <c r="A45" s="11"/>
      <c r="B45" s="286" t="s">
        <v>536</v>
      </c>
      <c r="C45" s="18" t="s">
        <v>200</v>
      </c>
      <c r="D45" s="124"/>
      <c r="E45" s="124"/>
      <c r="F45" s="124"/>
      <c r="G45" s="124"/>
      <c r="H45" s="123"/>
      <c r="I45" s="123"/>
      <c r="J45" s="123"/>
      <c r="K45" s="123"/>
      <c r="L45" s="123"/>
      <c r="M45" s="54"/>
      <c r="N45" s="172" t="s">
        <v>587</v>
      </c>
    </row>
    <row r="46" spans="1:14" x14ac:dyDescent="0.25">
      <c r="A46" s="11"/>
      <c r="B46" s="286" t="s">
        <v>537</v>
      </c>
      <c r="C46" s="18" t="s">
        <v>201</v>
      </c>
      <c r="D46" s="124"/>
      <c r="E46" s="124"/>
      <c r="F46" s="124"/>
      <c r="G46" s="124"/>
      <c r="H46" s="123"/>
      <c r="I46" s="123"/>
      <c r="J46" s="123"/>
      <c r="K46" s="123"/>
      <c r="L46" s="123"/>
      <c r="M46" s="55"/>
      <c r="N46" s="172" t="s">
        <v>587</v>
      </c>
    </row>
    <row r="47" spans="1:14" ht="24" x14ac:dyDescent="0.25">
      <c r="A47" s="11"/>
      <c r="B47" s="286" t="s">
        <v>522</v>
      </c>
      <c r="C47" s="18" t="s">
        <v>202</v>
      </c>
      <c r="D47" s="287">
        <f>SUM(D48,D51,D56:D59)</f>
        <v>0</v>
      </c>
      <c r="E47" s="287">
        <f t="shared" ref="E47:L47" si="3">SUM(E48,E51,E56:E59)</f>
        <v>0</v>
      </c>
      <c r="F47" s="287">
        <f t="shared" si="3"/>
        <v>0</v>
      </c>
      <c r="G47" s="287">
        <f t="shared" si="3"/>
        <v>0</v>
      </c>
      <c r="H47" s="287">
        <f t="shared" si="3"/>
        <v>0</v>
      </c>
      <c r="I47" s="287">
        <f t="shared" si="3"/>
        <v>0</v>
      </c>
      <c r="J47" s="287">
        <f t="shared" si="3"/>
        <v>0</v>
      </c>
      <c r="K47" s="287">
        <f t="shared" si="3"/>
        <v>0</v>
      </c>
      <c r="L47" s="287">
        <f t="shared" si="3"/>
        <v>0</v>
      </c>
      <c r="N47" s="96"/>
    </row>
    <row r="48" spans="1:14" x14ac:dyDescent="0.25">
      <c r="A48" s="11"/>
      <c r="B48" s="286" t="s">
        <v>523</v>
      </c>
      <c r="C48" s="18" t="s">
        <v>203</v>
      </c>
      <c r="D48" s="287">
        <f>SUM(D49:D50)</f>
        <v>0</v>
      </c>
      <c r="E48" s="287">
        <f t="shared" ref="E48:L48" si="4">SUM(E49:E50)</f>
        <v>0</v>
      </c>
      <c r="F48" s="287">
        <f t="shared" si="4"/>
        <v>0</v>
      </c>
      <c r="G48" s="287">
        <f t="shared" si="4"/>
        <v>0</v>
      </c>
      <c r="H48" s="287">
        <f t="shared" si="4"/>
        <v>0</v>
      </c>
      <c r="I48" s="287">
        <f t="shared" si="4"/>
        <v>0</v>
      </c>
      <c r="J48" s="287">
        <f t="shared" si="4"/>
        <v>0</v>
      </c>
      <c r="K48" s="287">
        <f t="shared" si="4"/>
        <v>0</v>
      </c>
      <c r="L48" s="287">
        <f t="shared" si="4"/>
        <v>0</v>
      </c>
      <c r="N48" s="96"/>
    </row>
    <row r="49" spans="1:14" x14ac:dyDescent="0.25">
      <c r="A49" s="11"/>
      <c r="B49" s="286" t="s">
        <v>524</v>
      </c>
      <c r="C49" s="18" t="s">
        <v>204</v>
      </c>
      <c r="D49" s="287">
        <f>'8'!D19+'8'!D20+'8'!D31</f>
        <v>0</v>
      </c>
      <c r="E49" s="287">
        <f>'8'!E19+'8'!E20+'8'!E31</f>
        <v>0</v>
      </c>
      <c r="F49" s="287">
        <f>'8'!F19+'8'!F20+'8'!F31</f>
        <v>0</v>
      </c>
      <c r="G49" s="287">
        <f>'8'!G19+'8'!G20+'8'!G31</f>
        <v>0</v>
      </c>
      <c r="H49" s="287">
        <f>'8'!H19+'8'!H20+'8'!H31</f>
        <v>0</v>
      </c>
      <c r="I49" s="287">
        <f>'8'!I19+'8'!I20+'8'!I31</f>
        <v>0</v>
      </c>
      <c r="J49" s="287">
        <f>'8'!J19+'8'!J20+'8'!J31</f>
        <v>0</v>
      </c>
      <c r="K49" s="287">
        <f>'8'!K19+'8'!K20+'8'!K31</f>
        <v>0</v>
      </c>
      <c r="L49" s="287">
        <f>'8'!L19+'8'!L20+'8'!L31</f>
        <v>0</v>
      </c>
      <c r="N49" s="96"/>
    </row>
    <row r="50" spans="1:14" x14ac:dyDescent="0.25">
      <c r="A50" s="11"/>
      <c r="B50" s="286" t="s">
        <v>525</v>
      </c>
      <c r="C50" s="18" t="s">
        <v>205</v>
      </c>
      <c r="D50" s="123"/>
      <c r="E50" s="123"/>
      <c r="F50" s="123"/>
      <c r="G50" s="123"/>
      <c r="H50" s="123"/>
      <c r="I50" s="123"/>
      <c r="J50" s="123"/>
      <c r="K50" s="123"/>
      <c r="L50" s="123"/>
      <c r="N50" s="172" t="s">
        <v>590</v>
      </c>
    </row>
    <row r="51" spans="1:14" x14ac:dyDescent="0.25">
      <c r="A51" s="11"/>
      <c r="B51" s="286" t="s">
        <v>526</v>
      </c>
      <c r="C51" s="18" t="s">
        <v>206</v>
      </c>
      <c r="D51" s="123">
        <f>SUM(D52:D55)</f>
        <v>0</v>
      </c>
      <c r="E51" s="123">
        <f t="shared" ref="E51:L51" si="5">SUM(E52:E55)</f>
        <v>0</v>
      </c>
      <c r="F51" s="123">
        <f t="shared" si="5"/>
        <v>0</v>
      </c>
      <c r="G51" s="123">
        <f t="shared" si="5"/>
        <v>0</v>
      </c>
      <c r="H51" s="123">
        <f t="shared" si="5"/>
        <v>0</v>
      </c>
      <c r="I51" s="123">
        <f t="shared" si="5"/>
        <v>0</v>
      </c>
      <c r="J51" s="123">
        <f t="shared" si="5"/>
        <v>0</v>
      </c>
      <c r="K51" s="123">
        <f t="shared" si="5"/>
        <v>0</v>
      </c>
      <c r="L51" s="123">
        <f t="shared" si="5"/>
        <v>0</v>
      </c>
      <c r="N51" s="96"/>
    </row>
    <row r="52" spans="1:14" x14ac:dyDescent="0.25">
      <c r="A52" s="11"/>
      <c r="B52" s="286" t="s">
        <v>527</v>
      </c>
      <c r="C52" s="18" t="s">
        <v>207</v>
      </c>
      <c r="D52" s="287">
        <f>-('8'!D21+'8'!D22)</f>
        <v>0</v>
      </c>
      <c r="E52" s="287">
        <f>-('8'!E21+'8'!E22)</f>
        <v>0</v>
      </c>
      <c r="F52" s="287">
        <f>-('8'!F21+'8'!F22)</f>
        <v>0</v>
      </c>
      <c r="G52" s="287">
        <f>-('8'!G21+'8'!G22)</f>
        <v>0</v>
      </c>
      <c r="H52" s="287">
        <f>-('8'!H21+'8'!H22)</f>
        <v>0</v>
      </c>
      <c r="I52" s="287">
        <f>-('8'!I21+'8'!I22)</f>
        <v>0</v>
      </c>
      <c r="J52" s="287">
        <f>-('8'!J21+'8'!J22)</f>
        <v>0</v>
      </c>
      <c r="K52" s="287">
        <f>-('8'!K21+'8'!K22)</f>
        <v>0</v>
      </c>
      <c r="L52" s="287">
        <f>-('8'!L21+'8'!L22)</f>
        <v>0</v>
      </c>
      <c r="N52" s="96"/>
    </row>
    <row r="53" spans="1:14" x14ac:dyDescent="0.25">
      <c r="A53" s="11"/>
      <c r="B53" s="286" t="s">
        <v>528</v>
      </c>
      <c r="C53" s="18" t="s">
        <v>208</v>
      </c>
      <c r="D53" s="123"/>
      <c r="E53" s="123"/>
      <c r="F53" s="123"/>
      <c r="G53" s="123"/>
      <c r="H53" s="123"/>
      <c r="I53" s="123"/>
      <c r="J53" s="123"/>
      <c r="K53" s="123"/>
      <c r="L53" s="123"/>
      <c r="N53" s="172" t="s">
        <v>590</v>
      </c>
    </row>
    <row r="54" spans="1:14" x14ac:dyDescent="0.25">
      <c r="A54" s="11"/>
      <c r="B54" s="286" t="s">
        <v>529</v>
      </c>
      <c r="C54" s="18" t="s">
        <v>209</v>
      </c>
      <c r="D54" s="287">
        <f>-('8'!D25+'8'!D35)</f>
        <v>0</v>
      </c>
      <c r="E54" s="287">
        <f>-('8'!E25+'8'!E35)</f>
        <v>0</v>
      </c>
      <c r="F54" s="287">
        <f>-('8'!F25+'8'!F35)</f>
        <v>0</v>
      </c>
      <c r="G54" s="287">
        <f>-('8'!G25+'8'!G35)</f>
        <v>0</v>
      </c>
      <c r="H54" s="287">
        <f>-('8'!H25+'8'!H35)</f>
        <v>0</v>
      </c>
      <c r="I54" s="287">
        <f>-('8'!I25+'8'!I35)</f>
        <v>0</v>
      </c>
      <c r="J54" s="287">
        <f>-('8'!J25+'8'!J35)</f>
        <v>0</v>
      </c>
      <c r="K54" s="287">
        <f>-('8'!K25+'8'!K35)</f>
        <v>0</v>
      </c>
      <c r="L54" s="287">
        <f>-('8'!L25+'8'!L35)</f>
        <v>0</v>
      </c>
      <c r="N54" s="96"/>
    </row>
    <row r="55" spans="1:14" x14ac:dyDescent="0.25">
      <c r="A55" s="11"/>
      <c r="B55" s="286" t="s">
        <v>530</v>
      </c>
      <c r="C55" s="18" t="s">
        <v>210</v>
      </c>
      <c r="D55" s="287">
        <f>-'8'!D32</f>
        <v>0</v>
      </c>
      <c r="E55" s="287">
        <f>-'8'!E32</f>
        <v>0</v>
      </c>
      <c r="F55" s="287">
        <f>-'8'!F32</f>
        <v>0</v>
      </c>
      <c r="G55" s="287">
        <f>-'8'!G32</f>
        <v>0</v>
      </c>
      <c r="H55" s="287">
        <f>-'8'!H32</f>
        <v>0</v>
      </c>
      <c r="I55" s="287">
        <f>-'8'!I32</f>
        <v>0</v>
      </c>
      <c r="J55" s="287">
        <f>-'8'!J32</f>
        <v>0</v>
      </c>
      <c r="K55" s="287">
        <f>-'8'!K32</f>
        <v>0</v>
      </c>
      <c r="L55" s="287">
        <f>-'8'!L32</f>
        <v>0</v>
      </c>
      <c r="N55" s="96"/>
    </row>
    <row r="56" spans="1:14" x14ac:dyDescent="0.25">
      <c r="A56" s="11"/>
      <c r="B56" s="286" t="s">
        <v>531</v>
      </c>
      <c r="C56" s="18" t="s">
        <v>211</v>
      </c>
      <c r="D56" s="121"/>
      <c r="E56" s="123"/>
      <c r="F56" s="123"/>
      <c r="G56" s="123"/>
      <c r="H56" s="123"/>
      <c r="I56" s="123"/>
      <c r="J56" s="123"/>
      <c r="K56" s="123"/>
      <c r="L56" s="123"/>
      <c r="N56" s="96"/>
    </row>
    <row r="57" spans="1:14" x14ac:dyDescent="0.25">
      <c r="A57" s="11"/>
      <c r="B57" s="286" t="s">
        <v>532</v>
      </c>
      <c r="C57" s="18" t="s">
        <v>212</v>
      </c>
      <c r="D57" s="124"/>
      <c r="E57" s="123"/>
      <c r="F57" s="123"/>
      <c r="G57" s="123"/>
      <c r="H57" s="123"/>
      <c r="I57" s="123"/>
      <c r="J57" s="123"/>
      <c r="K57" s="123"/>
      <c r="L57" s="123"/>
      <c r="N57" s="96"/>
    </row>
    <row r="58" spans="1:14" ht="24" x14ac:dyDescent="0.25">
      <c r="A58" s="11"/>
      <c r="B58" s="286" t="s">
        <v>521</v>
      </c>
      <c r="C58" s="18" t="s">
        <v>213</v>
      </c>
      <c r="D58" s="121"/>
      <c r="E58" s="287">
        <f>SUMIFS('5'!$F:$F,'5'!$B:$B,"Paramos išmokėjimas*",'5'!$C:$C,"&gt;="&amp;DATE('9.3'!E6,1,1),'5'!$C:$C,"&lt;="&amp;DATE('9.3'!E6,12,31))+SUMIFS('5'!$C$14,'9.3'!E$6,YEAR('5'!$C$15))</f>
        <v>0</v>
      </c>
      <c r="F58" s="287">
        <f>SUMIFS('5'!$F:$F,'5'!$B:$B,"Paramos išmokėjimas*",'5'!$C:$C,"&gt;="&amp;DATE('9.3'!F6,1,1),'5'!$C:$C,"&lt;="&amp;DATE('9.3'!F6,12,31))+SUMIFS('5'!$C$14,'9.3'!F$6,YEAR('5'!$C$15))</f>
        <v>0</v>
      </c>
      <c r="G58" s="287">
        <f>SUMIFS('5'!$F:$F,'5'!$B:$B,"Paramos išmokėjimas*",'5'!$C:$C,"&gt;="&amp;DATE('9.3'!G6,1,1),'5'!$C:$C,"&lt;="&amp;DATE('9.3'!G6,12,31))+SUMIFS('5'!$C$14,'9.3'!G$6,YEAR('5'!$C$15))</f>
        <v>0</v>
      </c>
      <c r="H58" s="287">
        <f>SUMIFS('5'!$F:$F,'5'!$B:$B,"Paramos išmokėjimas*",'5'!$C:$C,"&gt;="&amp;DATE('9.3'!H6,1,1),'5'!$C:$C,"&lt;="&amp;DATE('9.3'!H6,12,31))+SUMIFS('5'!$C$14,'9.3'!H$6,YEAR('5'!$C$15))</f>
        <v>0</v>
      </c>
      <c r="I58" s="287">
        <f>SUMIFS('5'!$F:$F,'5'!$B:$B,"Paramos išmokėjimas*",'5'!$C:$C,"&gt;="&amp;DATE('9.3'!I6,1,1),'5'!$C:$C,"&lt;="&amp;DATE('9.3'!I6,12,31))+SUMIFS('5'!$C$14,'9.3'!I$6,YEAR('5'!$C$15))</f>
        <v>0</v>
      </c>
      <c r="J58" s="287">
        <f>SUMIFS('5'!$F:$F,'5'!$B:$B,"Paramos išmokėjimas*",'5'!$C:$C,"&gt;="&amp;DATE('9.3'!J6,1,1),'5'!$C:$C,"&lt;="&amp;DATE('9.3'!J6,12,31))+SUMIFS('5'!$C$14,'9.3'!J$6,YEAR('5'!$C$15))</f>
        <v>0</v>
      </c>
      <c r="K58" s="287">
        <f>SUMIFS('5'!$F:$F,'5'!$B:$B,"Paramos išmokėjimas*",'5'!$C:$C,"&gt;="&amp;DATE('9.3'!K6,1,1),'5'!$C:$C,"&lt;="&amp;DATE('9.3'!K6,12,31))+SUMIFS('5'!$C$14,'9.3'!K$6,YEAR('5'!$C$15))</f>
        <v>0</v>
      </c>
      <c r="L58" s="287">
        <f>SUMIFS('5'!$F:$F,'5'!$B:$B,"Paramos išmokėjimas*",'5'!$C:$C,"&gt;="&amp;DATE('9.3'!L6,1,1),'5'!$C:$C,"&lt;="&amp;DATE('9.3'!L6,12,31))+SUMIFS('5'!$C$14,'9.3'!L$6,YEAR('5'!$C$15))</f>
        <v>0</v>
      </c>
      <c r="M58" s="55"/>
      <c r="N58" s="172" t="s">
        <v>437</v>
      </c>
    </row>
    <row r="59" spans="1:14" ht="24" x14ac:dyDescent="0.25">
      <c r="A59" s="11"/>
      <c r="B59" s="286" t="s">
        <v>520</v>
      </c>
      <c r="C59" s="18" t="s">
        <v>214</v>
      </c>
      <c r="D59" s="124"/>
      <c r="E59" s="123"/>
      <c r="F59" s="123"/>
      <c r="G59" s="123"/>
      <c r="H59" s="123"/>
      <c r="I59" s="123"/>
      <c r="J59" s="123"/>
      <c r="K59" s="123"/>
      <c r="L59" s="123"/>
      <c r="N59" s="172" t="s">
        <v>591</v>
      </c>
    </row>
    <row r="60" spans="1:14" x14ac:dyDescent="0.25">
      <c r="A60" s="11"/>
      <c r="B60" s="293" t="s">
        <v>619</v>
      </c>
      <c r="C60" s="196" t="s">
        <v>215</v>
      </c>
      <c r="D60" s="294">
        <f>SUM(D42,D47)</f>
        <v>0</v>
      </c>
      <c r="E60" s="294">
        <f t="shared" ref="E60:L60" si="6">SUM(E42,E47)</f>
        <v>0</v>
      </c>
      <c r="F60" s="294">
        <f t="shared" si="6"/>
        <v>0</v>
      </c>
      <c r="G60" s="294">
        <f t="shared" si="6"/>
        <v>0</v>
      </c>
      <c r="H60" s="294">
        <f t="shared" si="6"/>
        <v>0</v>
      </c>
      <c r="I60" s="294">
        <f t="shared" si="6"/>
        <v>0</v>
      </c>
      <c r="J60" s="294">
        <f t="shared" si="6"/>
        <v>0</v>
      </c>
      <c r="K60" s="294">
        <f t="shared" si="6"/>
        <v>0</v>
      </c>
      <c r="L60" s="294">
        <f t="shared" si="6"/>
        <v>0</v>
      </c>
      <c r="N60" s="96"/>
    </row>
    <row r="61" spans="1:14" ht="24" x14ac:dyDescent="0.25">
      <c r="A61" s="11"/>
      <c r="B61" s="286" t="s">
        <v>516</v>
      </c>
      <c r="C61" s="18" t="s">
        <v>216</v>
      </c>
      <c r="D61" s="121"/>
      <c r="E61" s="123"/>
      <c r="F61" s="123"/>
      <c r="G61" s="123"/>
      <c r="H61" s="123"/>
      <c r="I61" s="123"/>
      <c r="J61" s="123"/>
      <c r="K61" s="123"/>
      <c r="L61" s="123"/>
      <c r="N61" s="172" t="s">
        <v>591</v>
      </c>
    </row>
    <row r="62" spans="1:14" ht="24" x14ac:dyDescent="0.25">
      <c r="A62" s="11"/>
      <c r="B62" s="288" t="s">
        <v>517</v>
      </c>
      <c r="C62" s="242" t="s">
        <v>217</v>
      </c>
      <c r="D62" s="253">
        <f t="shared" ref="D62:L62" si="7">SUM(D29,D40,D60,D61)</f>
        <v>0</v>
      </c>
      <c r="E62" s="253">
        <f t="shared" si="7"/>
        <v>0</v>
      </c>
      <c r="F62" s="253">
        <f t="shared" si="7"/>
        <v>0</v>
      </c>
      <c r="G62" s="253">
        <f t="shared" si="7"/>
        <v>0</v>
      </c>
      <c r="H62" s="253">
        <f t="shared" si="7"/>
        <v>0</v>
      </c>
      <c r="I62" s="253">
        <f t="shared" si="7"/>
        <v>0</v>
      </c>
      <c r="J62" s="253">
        <f t="shared" si="7"/>
        <v>0</v>
      </c>
      <c r="K62" s="253">
        <f t="shared" si="7"/>
        <v>0</v>
      </c>
      <c r="L62" s="253">
        <f t="shared" si="7"/>
        <v>0</v>
      </c>
      <c r="N62" s="96"/>
    </row>
    <row r="63" spans="1:14" ht="24" x14ac:dyDescent="0.25">
      <c r="A63" s="11"/>
      <c r="B63" s="288" t="s">
        <v>518</v>
      </c>
      <c r="C63" s="242" t="s">
        <v>218</v>
      </c>
      <c r="D63" s="121"/>
      <c r="E63" s="253">
        <f>+D64</f>
        <v>0</v>
      </c>
      <c r="F63" s="253">
        <f t="shared" ref="F63:L63" si="8">E64</f>
        <v>0</v>
      </c>
      <c r="G63" s="253">
        <f t="shared" si="8"/>
        <v>0</v>
      </c>
      <c r="H63" s="253">
        <f t="shared" si="8"/>
        <v>0</v>
      </c>
      <c r="I63" s="253">
        <f t="shared" si="8"/>
        <v>0</v>
      </c>
      <c r="J63" s="253">
        <f t="shared" si="8"/>
        <v>0</v>
      </c>
      <c r="K63" s="253">
        <f t="shared" si="8"/>
        <v>0</v>
      </c>
      <c r="L63" s="253">
        <f t="shared" si="8"/>
        <v>0</v>
      </c>
      <c r="N63" s="96"/>
    </row>
    <row r="64" spans="1:14" ht="24" x14ac:dyDescent="0.25">
      <c r="A64" s="11"/>
      <c r="B64" s="293" t="s">
        <v>519</v>
      </c>
      <c r="C64" s="196" t="s">
        <v>219</v>
      </c>
      <c r="D64" s="294">
        <f>D62+D63</f>
        <v>0</v>
      </c>
      <c r="E64" s="294">
        <f t="shared" ref="E64:L64" si="9">+E63+E62</f>
        <v>0</v>
      </c>
      <c r="F64" s="294">
        <f t="shared" si="9"/>
        <v>0</v>
      </c>
      <c r="G64" s="294">
        <f t="shared" si="9"/>
        <v>0</v>
      </c>
      <c r="H64" s="294">
        <f t="shared" si="9"/>
        <v>0</v>
      </c>
      <c r="I64" s="294">
        <f t="shared" si="9"/>
        <v>0</v>
      </c>
      <c r="J64" s="294">
        <f t="shared" si="9"/>
        <v>0</v>
      </c>
      <c r="K64" s="294">
        <f t="shared" si="9"/>
        <v>0</v>
      </c>
      <c r="L64" s="294">
        <f t="shared" si="9"/>
        <v>0</v>
      </c>
      <c r="M64" s="55"/>
      <c r="N64" s="126" t="str">
        <f>IF(COUNTIFS(D64:L64,"&lt;0")&gt;0,"Klaida! Pinigų likutis negali būti neigiamas!","ok")</f>
        <v>ok</v>
      </c>
    </row>
    <row r="65" spans="14:14" x14ac:dyDescent="0.25">
      <c r="N65" s="126" t="str">
        <f>IF(ABS(D64-'9.1'!D32)&gt;1,"Klaida! Ataskaitiniais metais pinigų likutis balanse ir pinigų srautų ataskaitoje nesutampa","ok")</f>
        <v>ok</v>
      </c>
    </row>
  </sheetData>
  <sheetProtection algorithmName="SHA-512" hashValue="10e+hM8bpzPpOd2yYKpH0zWY06o8kre8iXpQBwBVfl5yVMvz5tPT8uoCreCj9RsHjIrFC+16irjXrz62Gk+o1Q==" saltValue="mfcfWXon9yh+kBLWlYvBew==" spinCount="100000" sheet="1" objects="1" scenarios="1"/>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C5" activePane="bottomRight" state="frozen"/>
      <selection activeCell="B14" sqref="B14:L14"/>
      <selection pane="topRight" activeCell="B14" sqref="B14:L14"/>
      <selection pane="bottomLeft" activeCell="B14" sqref="B14:L14"/>
      <selection pane="bottomRight" activeCell="D4" sqref="D4"/>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159</v>
      </c>
      <c r="B1" s="538" t="s">
        <v>6</v>
      </c>
      <c r="C1" s="538"/>
      <c r="D1" s="538"/>
      <c r="E1" s="538"/>
      <c r="F1" s="538"/>
      <c r="G1" s="538"/>
      <c r="H1" s="235"/>
      <c r="I1" s="235"/>
      <c r="J1" s="235"/>
      <c r="K1" s="235"/>
      <c r="L1" s="247"/>
      <c r="N1" s="311" t="s">
        <v>296</v>
      </c>
    </row>
    <row r="2" spans="1:15" x14ac:dyDescent="0.25">
      <c r="N2" s="312"/>
    </row>
    <row r="3" spans="1:15" ht="38.25" x14ac:dyDescent="0.25">
      <c r="A3" s="502" t="s">
        <v>22</v>
      </c>
      <c r="B3" s="539" t="s">
        <v>77</v>
      </c>
      <c r="C3" s="260" t="s">
        <v>220</v>
      </c>
      <c r="D3" s="193" t="str">
        <f>IF(AND('1'!$C$22="Verslo pradžia",YEAR('1'!$E$22)=YEAR('1'!$C$11)),"Pradžios metai","Ataskaitiniai metai")</f>
        <v>Ataskaitiniai metai</v>
      </c>
      <c r="E3" s="453" t="s">
        <v>12</v>
      </c>
      <c r="F3" s="454"/>
      <c r="G3" s="454"/>
      <c r="H3" s="454"/>
      <c r="I3" s="454"/>
      <c r="J3" s="454"/>
      <c r="K3" s="454"/>
      <c r="L3" s="455"/>
      <c r="N3" s="312"/>
    </row>
    <row r="4" spans="1:15" ht="15" customHeight="1" thickBot="1" x14ac:dyDescent="0.3">
      <c r="A4" s="503"/>
      <c r="B4" s="540"/>
      <c r="C4" s="194" t="str">
        <f>_xlfn.CONCAT("",YEAR(Parametrai!$C$13)-2)</f>
        <v>2022</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2"/>
      <c r="O4" s="257" t="s">
        <v>245</v>
      </c>
    </row>
    <row r="5" spans="1:15" ht="15.75" thickTop="1" x14ac:dyDescent="0.25">
      <c r="A5" s="381" t="s">
        <v>458</v>
      </c>
      <c r="B5" s="263" t="s">
        <v>221</v>
      </c>
      <c r="C5" s="261"/>
      <c r="D5" s="308" t="str">
        <f>IFERROR((SUM('9.3'!D29,'9.3'!D58)/-SUM('9.3'!D52,'9.3'!D55,'9.3'!D54)),"-")</f>
        <v>-</v>
      </c>
      <c r="E5" s="308" t="str">
        <f>IFERROR((SUM('9.3'!E29,'9.3'!E58)/-SUM('9.3'!E52,'9.3'!E55,'9.3'!E54)),"-")</f>
        <v>-</v>
      </c>
      <c r="F5" s="308" t="str">
        <f>IFERROR((SUM('9.3'!F29,'9.3'!F58)/-SUM('9.3'!F52,'9.3'!F55,'9.3'!F54)),"-")</f>
        <v>-</v>
      </c>
      <c r="G5" s="308" t="str">
        <f>IFERROR((SUM('9.3'!G29,'9.3'!G58)/-SUM('9.3'!G52,'9.3'!G55,'9.3'!G54)),"-")</f>
        <v>-</v>
      </c>
      <c r="H5" s="308" t="str">
        <f>IFERROR((SUM('9.3'!H29,'9.3'!H58)/-SUM('9.3'!H52,'9.3'!H55,'9.3'!H54)),"-")</f>
        <v>-</v>
      </c>
      <c r="I5" s="308" t="str">
        <f>IFERROR((SUM('9.3'!I29,'9.3'!I58)/-SUM('9.3'!I52,'9.3'!I55,'9.3'!I54)),"-")</f>
        <v>-</v>
      </c>
      <c r="J5" s="308" t="str">
        <f>IFERROR((SUM('9.3'!J29,'9.3'!J58)/-SUM('9.3'!J52,'9.3'!J55,'9.3'!J54)),"-")</f>
        <v>-</v>
      </c>
      <c r="K5" s="308" t="str">
        <f>IFERROR((SUM('9.3'!K29,'9.3'!K58)/-SUM('9.3'!K52,'9.3'!K55,'9.3'!K54)),"-")</f>
        <v>-</v>
      </c>
      <c r="L5" s="308" t="str">
        <f>IFERROR((SUM('9.3'!L29,'9.3'!L58)/-SUM('9.3'!L52,'9.3'!L55,'9.3'!L54)),"-")</f>
        <v>-</v>
      </c>
      <c r="M5" s="55"/>
      <c r="N5" s="312"/>
      <c r="O5" s="258">
        <f>Parametrai!C21</f>
        <v>1.25</v>
      </c>
    </row>
    <row r="6" spans="1:15" x14ac:dyDescent="0.25">
      <c r="A6" s="382" t="s">
        <v>457</v>
      </c>
      <c r="B6" s="264" t="s">
        <v>222</v>
      </c>
      <c r="C6" s="261"/>
      <c r="D6" s="309" t="str">
        <f>IFERROR('9.1'!D50/'9.1'!D34,"-")</f>
        <v>-</v>
      </c>
      <c r="E6" s="309" t="str">
        <f>IFERROR('9.1'!E50/'9.1'!E34,"-")</f>
        <v>-</v>
      </c>
      <c r="F6" s="309" t="str">
        <f>IFERROR('9.1'!F50/'9.1'!F34,"-")</f>
        <v>-</v>
      </c>
      <c r="G6" s="309" t="str">
        <f>IFERROR('9.1'!G50/'9.1'!G34,"-")</f>
        <v>-</v>
      </c>
      <c r="H6" s="309" t="str">
        <f>IFERROR('9.1'!H50/'9.1'!H34,"-")</f>
        <v>-</v>
      </c>
      <c r="I6" s="309" t="str">
        <f>IFERROR('9.1'!I50/'9.1'!I34,"-")</f>
        <v>-</v>
      </c>
      <c r="J6" s="309" t="str">
        <f>IFERROR('9.1'!J50/'9.1'!J34,"-")</f>
        <v>-</v>
      </c>
      <c r="K6" s="309" t="str">
        <f>IFERROR('9.1'!K50/'9.1'!K34,"-")</f>
        <v>-</v>
      </c>
      <c r="L6" s="309" t="str">
        <f>IFERROR('9.1'!L50/'9.1'!L34,"-")</f>
        <v>-</v>
      </c>
      <c r="M6" s="55"/>
      <c r="N6" s="312"/>
      <c r="O6" s="258">
        <f>Parametrai!C22</f>
        <v>0.65</v>
      </c>
    </row>
    <row r="7" spans="1:15" x14ac:dyDescent="0.25">
      <c r="A7" s="382" t="s">
        <v>459</v>
      </c>
      <c r="B7" s="264" t="s">
        <v>223</v>
      </c>
      <c r="C7" s="262"/>
      <c r="D7" s="310" t="str">
        <f>IFERROR('9.2'!D24/'9.2'!D7,"-")</f>
        <v>-</v>
      </c>
      <c r="E7" s="310" t="str">
        <f>IFERROR('9.2'!E24/'9.2'!E7,"-")</f>
        <v>-</v>
      </c>
      <c r="F7" s="310" t="str">
        <f>IFERROR('9.2'!F24/'9.2'!F7,"-")</f>
        <v>-</v>
      </c>
      <c r="G7" s="310" t="str">
        <f>IFERROR('9.2'!G24/'9.2'!G7,"-")</f>
        <v>-</v>
      </c>
      <c r="H7" s="310" t="str">
        <f>IFERROR('9.2'!H24/'9.2'!H7,"-")</f>
        <v>-</v>
      </c>
      <c r="I7" s="310" t="str">
        <f>IFERROR('9.2'!I24/'9.2'!I7,"-")</f>
        <v>-</v>
      </c>
      <c r="J7" s="310" t="str">
        <f>IFERROR('9.2'!J24/'9.2'!J7,"-")</f>
        <v>-</v>
      </c>
      <c r="K7" s="310" t="str">
        <f>IFERROR('9.2'!K24/'9.2'!K7,"-")</f>
        <v>-</v>
      </c>
      <c r="L7" s="310" t="str">
        <f>IFERROR('9.2'!L24/'9.2'!L7,"-")</f>
        <v>-</v>
      </c>
      <c r="M7" s="55"/>
      <c r="N7" s="312"/>
      <c r="O7" s="259">
        <f>Parametrai!C23</f>
        <v>0</v>
      </c>
    </row>
    <row r="8" spans="1:15" ht="25.5" x14ac:dyDescent="0.25">
      <c r="A8" s="382" t="s">
        <v>460</v>
      </c>
      <c r="B8" s="264" t="s">
        <v>240</v>
      </c>
      <c r="C8" s="261"/>
      <c r="D8" s="308" t="str">
        <f>IFERROR('9.1'!D20/'9.1'!D57,"-")</f>
        <v>-</v>
      </c>
      <c r="E8" s="308" t="str">
        <f>IFERROR('9.1'!E20/'9.1'!E57,"-")</f>
        <v>-</v>
      </c>
      <c r="F8" s="308" t="str">
        <f>IFERROR('9.1'!F20/'9.1'!F57,"-")</f>
        <v>-</v>
      </c>
      <c r="G8" s="308" t="str">
        <f>IFERROR('9.1'!G20/'9.1'!G57,"-")</f>
        <v>-</v>
      </c>
      <c r="H8" s="308" t="str">
        <f>IFERROR('9.1'!H20/'9.1'!H57,"-")</f>
        <v>-</v>
      </c>
      <c r="I8" s="308" t="str">
        <f>IFERROR('9.1'!I20/'9.1'!I57,"-")</f>
        <v>-</v>
      </c>
      <c r="J8" s="308" t="str">
        <f>IFERROR('9.1'!J20/'9.1'!J57,"-")</f>
        <v>-</v>
      </c>
      <c r="K8" s="308" t="str">
        <f>IFERROR('9.1'!K20/'9.1'!K57,"-")</f>
        <v>-</v>
      </c>
      <c r="L8" s="308" t="str">
        <f>IFERROR('9.1'!L20/'9.1'!L57,"-")</f>
        <v>-</v>
      </c>
      <c r="N8" s="312"/>
      <c r="O8" s="258">
        <f>Parametrai!C24</f>
        <v>1</v>
      </c>
    </row>
    <row r="9" spans="1:15" x14ac:dyDescent="0.25">
      <c r="N9" s="312"/>
    </row>
    <row r="10" spans="1:15" x14ac:dyDescent="0.25">
      <c r="N10" s="312"/>
    </row>
    <row r="11" spans="1:15" ht="24" customHeight="1" x14ac:dyDescent="0.25">
      <c r="B11" s="537" t="s">
        <v>728</v>
      </c>
      <c r="C11" s="537"/>
      <c r="D11" s="537"/>
      <c r="E11" s="537"/>
      <c r="F11" s="537"/>
      <c r="G11" s="537"/>
      <c r="H11" s="537"/>
      <c r="I11" s="537"/>
      <c r="J11" s="537"/>
      <c r="K11" s="537"/>
      <c r="L11" s="537"/>
      <c r="N11" s="312"/>
    </row>
    <row r="12" spans="1:15" ht="137.65" customHeight="1" x14ac:dyDescent="0.25">
      <c r="B12" s="536" t="s">
        <v>723</v>
      </c>
      <c r="C12" s="536"/>
      <c r="D12" s="536"/>
      <c r="E12" s="536"/>
      <c r="F12" s="536"/>
      <c r="G12" s="536"/>
      <c r="H12" s="536"/>
      <c r="I12" s="536"/>
      <c r="J12" s="536"/>
      <c r="K12" s="536"/>
      <c r="L12" s="536"/>
      <c r="N12" s="312"/>
    </row>
    <row r="13" spans="1:15" ht="50.65" customHeight="1" x14ac:dyDescent="0.25">
      <c r="B13" s="536" t="s">
        <v>724</v>
      </c>
      <c r="C13" s="536"/>
      <c r="D13" s="536"/>
      <c r="E13" s="536"/>
      <c r="F13" s="536"/>
      <c r="G13" s="536"/>
      <c r="H13" s="536"/>
      <c r="I13" s="536"/>
      <c r="J13" s="536"/>
      <c r="K13" s="536"/>
      <c r="L13" s="536"/>
      <c r="N13" s="312"/>
    </row>
    <row r="14" spans="1:15" ht="76.349999999999994" customHeight="1" x14ac:dyDescent="0.25">
      <c r="B14" s="536" t="s">
        <v>725</v>
      </c>
      <c r="C14" s="536"/>
      <c r="D14" s="536"/>
      <c r="E14" s="536"/>
      <c r="F14" s="536"/>
      <c r="G14" s="536"/>
      <c r="H14" s="536"/>
      <c r="I14" s="536"/>
      <c r="J14" s="536"/>
      <c r="K14" s="536"/>
      <c r="L14" s="536"/>
      <c r="N14" s="312"/>
    </row>
    <row r="15" spans="1:15" ht="76.349999999999994" customHeight="1" x14ac:dyDescent="0.25">
      <c r="B15" s="536" t="s">
        <v>726</v>
      </c>
      <c r="C15" s="536"/>
      <c r="D15" s="536"/>
      <c r="E15" s="536"/>
      <c r="F15" s="536"/>
      <c r="G15" s="536"/>
      <c r="H15" s="536"/>
      <c r="I15" s="536"/>
      <c r="J15" s="536"/>
      <c r="K15" s="536"/>
      <c r="L15" s="536"/>
      <c r="N15" s="312"/>
    </row>
    <row r="16" spans="1:15" ht="53.65" customHeight="1" x14ac:dyDescent="0.25">
      <c r="B16" s="536" t="s">
        <v>727</v>
      </c>
      <c r="C16" s="536"/>
      <c r="D16" s="536"/>
      <c r="E16" s="536"/>
      <c r="F16" s="536"/>
      <c r="G16" s="536"/>
      <c r="H16" s="536"/>
      <c r="I16" s="536"/>
      <c r="J16" s="536"/>
      <c r="K16" s="536"/>
      <c r="L16" s="536"/>
      <c r="N16" s="312"/>
    </row>
    <row r="17" spans="2:2" x14ac:dyDescent="0.25">
      <c r="B17" s="4"/>
    </row>
    <row r="18" spans="2:2" x14ac:dyDescent="0.25">
      <c r="B18" s="4"/>
    </row>
    <row r="20" spans="2:2" x14ac:dyDescent="0.25">
      <c r="B20" s="4"/>
    </row>
    <row r="21" spans="2:2" x14ac:dyDescent="0.25">
      <c r="B21" s="4"/>
    </row>
    <row r="22" spans="2:2" x14ac:dyDescent="0.25">
      <c r="B22" s="4"/>
    </row>
  </sheetData>
  <sheetProtection algorithmName="SHA-512" hashValue="r18q1IQdxJZ5dOknpiNx1ctu3Do3lXozVEOD6nnp8SphI6d/kFpjAFTMbP0YDdJfQzD2zzJPNGZkpntq+59YIQ==" saltValue="nSL9yXHk9G8GNxF5Uut6LA==" spinCount="100000" sheet="1" objects="1" scenarios="1"/>
  <mergeCells count="10">
    <mergeCell ref="B1:G1"/>
    <mergeCell ref="E3:L3"/>
    <mergeCell ref="B3:B4"/>
    <mergeCell ref="A3:A4"/>
    <mergeCell ref="B12:L12"/>
    <mergeCell ref="B13:L13"/>
    <mergeCell ref="B14:L14"/>
    <mergeCell ref="B15:L15"/>
    <mergeCell ref="B16:L16"/>
    <mergeCell ref="B11:L11"/>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E18" sqref="E18"/>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6" t="str">
        <f>IF((COUNTIFS(D2:L2,"&gt;3")+COUNTIFS(D2:L2,"&lt;-3"))&gt;0,"Klaida! Patikrinkite duomenis, turtas iš viso nėra lygus nuosavybei ir įsipareigojimams iš viso","ok")</f>
        <v>ok</v>
      </c>
    </row>
    <row r="3" spans="2:14" s="2" customFormat="1" ht="14.25" x14ac:dyDescent="0.25">
      <c r="B3" s="202" t="s">
        <v>405</v>
      </c>
      <c r="C3" s="235" t="s">
        <v>844</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M5" s="54"/>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236"/>
      <c r="C7" s="237" t="s">
        <v>92</v>
      </c>
      <c r="D7" s="238"/>
      <c r="E7" s="239"/>
      <c r="F7" s="239"/>
      <c r="G7" s="239"/>
      <c r="H7" s="239"/>
      <c r="I7" s="239"/>
      <c r="J7" s="239"/>
      <c r="K7" s="239"/>
      <c r="L7" s="240"/>
      <c r="N7" s="172"/>
    </row>
    <row r="8" spans="2:14"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4" x14ac:dyDescent="0.25">
      <c r="B9" s="56" t="s">
        <v>573</v>
      </c>
      <c r="C9" s="18" t="s">
        <v>95</v>
      </c>
      <c r="D9" s="123">
        <f>'6'!D59</f>
        <v>0</v>
      </c>
      <c r="E9" s="123">
        <f>'6'!E59</f>
        <v>0</v>
      </c>
      <c r="F9" s="123">
        <f>'6'!F59</f>
        <v>0</v>
      </c>
      <c r="G9" s="123">
        <f>'6'!G59</f>
        <v>0</v>
      </c>
      <c r="H9" s="123">
        <f>'6'!H59</f>
        <v>0</v>
      </c>
      <c r="I9" s="123">
        <f>'6'!I59</f>
        <v>0</v>
      </c>
      <c r="J9" s="123">
        <f>'6'!J59</f>
        <v>0</v>
      </c>
      <c r="K9" s="123">
        <f>'6'!K59</f>
        <v>0</v>
      </c>
      <c r="L9" s="123">
        <f>'6'!L59</f>
        <v>0</v>
      </c>
      <c r="M9" s="55"/>
      <c r="N9" s="172"/>
    </row>
    <row r="10" spans="2:14" x14ac:dyDescent="0.25">
      <c r="B10" s="56" t="s">
        <v>574</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4" x14ac:dyDescent="0.25">
      <c r="B11" s="56" t="s">
        <v>757</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4" x14ac:dyDescent="0.25">
      <c r="B12" s="56" t="s">
        <v>729</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4" x14ac:dyDescent="0.25">
      <c r="B13" s="56" t="s">
        <v>758</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4" x14ac:dyDescent="0.25">
      <c r="B14" s="56" t="s">
        <v>759</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4" x14ac:dyDescent="0.25">
      <c r="B15" s="56" t="s">
        <v>760</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4" x14ac:dyDescent="0.25">
      <c r="B16" s="56" t="s">
        <v>761</v>
      </c>
      <c r="C16" s="306" t="s">
        <v>807</v>
      </c>
      <c r="D16" s="152"/>
      <c r="E16" s="152"/>
      <c r="F16" s="152"/>
      <c r="G16" s="152"/>
      <c r="H16" s="152"/>
      <c r="I16" s="152"/>
      <c r="J16" s="152"/>
      <c r="K16" s="152"/>
      <c r="L16" s="152"/>
      <c r="N16" s="172" t="s">
        <v>453</v>
      </c>
    </row>
    <row r="17" spans="2:15" x14ac:dyDescent="0.25">
      <c r="B17" s="56" t="s">
        <v>762</v>
      </c>
      <c r="C17" s="18" t="s">
        <v>841</v>
      </c>
      <c r="D17" s="152"/>
      <c r="E17" s="152"/>
      <c r="F17" s="152"/>
      <c r="G17" s="152"/>
      <c r="H17" s="152"/>
      <c r="I17" s="152"/>
      <c r="J17" s="152"/>
      <c r="K17" s="152"/>
      <c r="L17" s="152"/>
      <c r="N17" s="172" t="s">
        <v>1004</v>
      </c>
    </row>
    <row r="18" spans="2:15" x14ac:dyDescent="0.25">
      <c r="B18" s="56" t="s">
        <v>575</v>
      </c>
      <c r="C18" s="18" t="s">
        <v>100</v>
      </c>
      <c r="D18" s="145"/>
      <c r="E18" s="145"/>
      <c r="F18" s="145"/>
      <c r="G18" s="145"/>
      <c r="H18" s="145"/>
      <c r="I18" s="145"/>
      <c r="J18" s="145"/>
      <c r="K18" s="145"/>
      <c r="L18" s="145"/>
      <c r="N18" s="172" t="s">
        <v>1031</v>
      </c>
    </row>
    <row r="19" spans="2:15" x14ac:dyDescent="0.25">
      <c r="B19" s="56" t="s">
        <v>576</v>
      </c>
      <c r="C19" s="18" t="s">
        <v>102</v>
      </c>
      <c r="D19" s="145"/>
      <c r="E19" s="145"/>
      <c r="F19" s="145"/>
      <c r="G19" s="145"/>
      <c r="H19" s="145"/>
      <c r="I19" s="145"/>
      <c r="J19" s="145"/>
      <c r="K19" s="145"/>
      <c r="L19" s="145"/>
      <c r="N19" s="172" t="s">
        <v>1005</v>
      </c>
    </row>
    <row r="20" spans="2:15" x14ac:dyDescent="0.25">
      <c r="B20" s="195" t="s">
        <v>104</v>
      </c>
      <c r="C20" s="196" t="s">
        <v>105</v>
      </c>
      <c r="D20" s="295">
        <f t="shared" ref="D20:L20" si="3">SUM(D21,D25,D28,D29)</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5" x14ac:dyDescent="0.25">
      <c r="B21" s="56" t="s">
        <v>730</v>
      </c>
      <c r="C21" s="18" t="s">
        <v>106</v>
      </c>
      <c r="D21" s="123">
        <f t="shared" ref="D21:L21" si="4">SUM(D22:D24)</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5" x14ac:dyDescent="0.25">
      <c r="B22" s="56" t="s">
        <v>731</v>
      </c>
      <c r="C22" s="18" t="s">
        <v>808</v>
      </c>
      <c r="D22" s="145"/>
      <c r="E22" s="145"/>
      <c r="F22" s="145"/>
      <c r="G22" s="145"/>
      <c r="H22" s="145"/>
      <c r="I22" s="145"/>
      <c r="J22" s="145"/>
      <c r="K22" s="145"/>
      <c r="L22" s="145"/>
      <c r="N22" s="172"/>
    </row>
    <row r="23" spans="2:15" x14ac:dyDescent="0.25">
      <c r="B23" s="56" t="s">
        <v>732</v>
      </c>
      <c r="C23" s="18" t="s">
        <v>809</v>
      </c>
      <c r="D23" s="145"/>
      <c r="E23" s="145"/>
      <c r="F23" s="145"/>
      <c r="G23" s="145"/>
      <c r="H23" s="145"/>
      <c r="I23" s="145"/>
      <c r="J23" s="145"/>
      <c r="K23" s="145"/>
      <c r="L23" s="145"/>
      <c r="N23" s="172"/>
    </row>
    <row r="24" spans="2:15" x14ac:dyDescent="0.25">
      <c r="B24" s="56" t="s">
        <v>733</v>
      </c>
      <c r="C24" s="18" t="s">
        <v>810</v>
      </c>
      <c r="D24" s="145"/>
      <c r="E24" s="145"/>
      <c r="F24" s="145"/>
      <c r="G24" s="145"/>
      <c r="H24" s="145"/>
      <c r="I24" s="145"/>
      <c r="J24" s="145"/>
      <c r="K24" s="145"/>
      <c r="L24" s="145"/>
      <c r="M24" s="54"/>
      <c r="N24" s="307"/>
    </row>
    <row r="25" spans="2:15" ht="24" x14ac:dyDescent="0.25">
      <c r="B25" s="56" t="s">
        <v>737</v>
      </c>
      <c r="C25" s="18" t="s">
        <v>111</v>
      </c>
      <c r="D25" s="123">
        <f t="shared" ref="D25:L25" si="5">SUM(D26:D27)</f>
        <v>0</v>
      </c>
      <c r="E25" s="123">
        <f t="shared" si="5"/>
        <v>0</v>
      </c>
      <c r="F25" s="123">
        <f t="shared" si="5"/>
        <v>0</v>
      </c>
      <c r="G25" s="123">
        <f t="shared" si="5"/>
        <v>0</v>
      </c>
      <c r="H25" s="123">
        <f t="shared" si="5"/>
        <v>0</v>
      </c>
      <c r="I25" s="123">
        <f t="shared" si="5"/>
        <v>0</v>
      </c>
      <c r="J25" s="123">
        <f t="shared" si="5"/>
        <v>0</v>
      </c>
      <c r="K25" s="123">
        <f t="shared" si="5"/>
        <v>0</v>
      </c>
      <c r="L25" s="123">
        <f t="shared" si="5"/>
        <v>0</v>
      </c>
      <c r="N25" s="172"/>
    </row>
    <row r="26" spans="2:15" x14ac:dyDescent="0.25">
      <c r="B26" s="56" t="s">
        <v>738</v>
      </c>
      <c r="C26" s="18" t="s">
        <v>112</v>
      </c>
      <c r="D26" s="121"/>
      <c r="E26" s="145"/>
      <c r="F26" s="145"/>
      <c r="G26" s="145"/>
      <c r="H26" s="145"/>
      <c r="I26" s="145"/>
      <c r="J26" s="145"/>
      <c r="K26" s="145"/>
      <c r="L26" s="145"/>
      <c r="N26" s="172"/>
      <c r="O26" s="154"/>
    </row>
    <row r="27" spans="2:15" x14ac:dyDescent="0.25">
      <c r="B27" s="56" t="s">
        <v>739</v>
      </c>
      <c r="C27" s="18" t="s">
        <v>113</v>
      </c>
      <c r="D27" s="121"/>
      <c r="E27" s="145"/>
      <c r="F27" s="145"/>
      <c r="G27" s="145"/>
      <c r="H27" s="145"/>
      <c r="I27" s="145"/>
      <c r="J27" s="145"/>
      <c r="K27" s="145"/>
      <c r="L27" s="145"/>
      <c r="N27" s="172"/>
    </row>
    <row r="28" spans="2:15" x14ac:dyDescent="0.25">
      <c r="B28" s="56" t="s">
        <v>740</v>
      </c>
      <c r="C28" s="18" t="s">
        <v>114</v>
      </c>
      <c r="D28" s="121"/>
      <c r="E28" s="145"/>
      <c r="F28" s="145"/>
      <c r="G28" s="145"/>
      <c r="H28" s="145"/>
      <c r="I28" s="145"/>
      <c r="J28" s="145"/>
      <c r="K28" s="145"/>
      <c r="L28" s="145"/>
      <c r="M28" s="55"/>
      <c r="N28" s="172"/>
    </row>
    <row r="29" spans="2:15" x14ac:dyDescent="0.25">
      <c r="B29" s="56" t="s">
        <v>741</v>
      </c>
      <c r="C29" s="18" t="s">
        <v>115</v>
      </c>
      <c r="D29" s="121"/>
      <c r="E29" s="287">
        <f>+'9.3'!E64</f>
        <v>0</v>
      </c>
      <c r="F29" s="287">
        <f>+'9.3'!F64</f>
        <v>0</v>
      </c>
      <c r="G29" s="287">
        <f>+'9.3'!G64</f>
        <v>0</v>
      </c>
      <c r="H29" s="287">
        <f>+'9.3'!H64</f>
        <v>0</v>
      </c>
      <c r="I29" s="287">
        <f>+'9.3'!I64</f>
        <v>0</v>
      </c>
      <c r="J29" s="287">
        <f>+'9.3'!J64</f>
        <v>0</v>
      </c>
      <c r="K29" s="287">
        <f>+'9.3'!K64</f>
        <v>0</v>
      </c>
      <c r="L29" s="287">
        <f>+'9.3'!L64</f>
        <v>0</v>
      </c>
      <c r="M29" s="55"/>
      <c r="N29" s="126" t="str">
        <f>IF(COUNTIFS(D29:L29,"&lt;0")&gt;0,"Klaida! Pinigų likutis negali būti neigiamas!","ok")</f>
        <v>ok</v>
      </c>
    </row>
    <row r="30" spans="2:15" ht="24" x14ac:dyDescent="0.25">
      <c r="B30" s="195" t="s">
        <v>116</v>
      </c>
      <c r="C30" s="196" t="s">
        <v>117</v>
      </c>
      <c r="D30" s="302"/>
      <c r="E30" s="292"/>
      <c r="F30" s="292"/>
      <c r="G30" s="292"/>
      <c r="H30" s="292"/>
      <c r="I30" s="292"/>
      <c r="J30" s="292"/>
      <c r="K30" s="292"/>
      <c r="L30" s="292"/>
      <c r="M30" s="55"/>
      <c r="N30" s="126" t="str">
        <f>IF(ABS(D29-'9.3'!D64)&gt;1,"Klaida! Ataskaitiniais metais pinigų likutis balanse ir pinigų srautų ataskaitoje nesutampa","ok")</f>
        <v>ok</v>
      </c>
    </row>
    <row r="31" spans="2:15" s="5" customFormat="1" ht="14.65" customHeight="1" thickBot="1" x14ac:dyDescent="0.3">
      <c r="B31" s="319"/>
      <c r="C31" s="319" t="s">
        <v>118</v>
      </c>
      <c r="D31" s="255">
        <f t="shared" ref="D31:L31" si="6">SUM(D8,D20,D30)</f>
        <v>0</v>
      </c>
      <c r="E31" s="255">
        <f t="shared" si="6"/>
        <v>0</v>
      </c>
      <c r="F31" s="255">
        <f t="shared" si="6"/>
        <v>0</v>
      </c>
      <c r="G31" s="255">
        <f t="shared" si="6"/>
        <v>0</v>
      </c>
      <c r="H31" s="255">
        <f t="shared" si="6"/>
        <v>0</v>
      </c>
      <c r="I31" s="255">
        <f t="shared" si="6"/>
        <v>0</v>
      </c>
      <c r="J31" s="255">
        <f t="shared" si="6"/>
        <v>0</v>
      </c>
      <c r="K31" s="255">
        <f t="shared" si="6"/>
        <v>0</v>
      </c>
      <c r="L31" s="255">
        <f t="shared" si="6"/>
        <v>0</v>
      </c>
      <c r="M31" s="55"/>
      <c r="N31" s="172"/>
    </row>
    <row r="32" spans="2:15" ht="15.75" thickTop="1" x14ac:dyDescent="0.25">
      <c r="B32" s="55"/>
      <c r="C32" s="55"/>
      <c r="D32" s="153"/>
      <c r="E32" s="153"/>
      <c r="F32" s="153"/>
      <c r="G32" s="153"/>
      <c r="H32" s="153"/>
      <c r="I32" s="153"/>
      <c r="J32" s="153"/>
      <c r="K32" s="153"/>
      <c r="L32" s="153"/>
      <c r="M32" s="55"/>
      <c r="N32" s="172"/>
    </row>
    <row r="33" spans="2:14" ht="24" x14ac:dyDescent="0.25">
      <c r="B33" s="243"/>
      <c r="C33" s="196" t="s">
        <v>119</v>
      </c>
      <c r="D33" s="244"/>
      <c r="E33" s="244"/>
      <c r="F33" s="244"/>
      <c r="G33" s="244"/>
      <c r="H33" s="244"/>
      <c r="I33" s="244"/>
      <c r="J33" s="244"/>
      <c r="K33" s="244"/>
      <c r="L33" s="245"/>
      <c r="M33" s="55"/>
      <c r="N33" s="172"/>
    </row>
    <row r="34" spans="2:14" x14ac:dyDescent="0.25">
      <c r="B34" s="195" t="s">
        <v>120</v>
      </c>
      <c r="C34" s="246" t="s">
        <v>121</v>
      </c>
      <c r="D34" s="301">
        <f>SUM(D35:D38)</f>
        <v>0</v>
      </c>
      <c r="E34" s="301">
        <f t="shared" ref="E34:L34" si="7">SUM(E35:E38)</f>
        <v>0</v>
      </c>
      <c r="F34" s="301">
        <f t="shared" si="7"/>
        <v>0</v>
      </c>
      <c r="G34" s="301">
        <f t="shared" si="7"/>
        <v>0</v>
      </c>
      <c r="H34" s="301">
        <f t="shared" si="7"/>
        <v>0</v>
      </c>
      <c r="I34" s="301">
        <f t="shared" si="7"/>
        <v>0</v>
      </c>
      <c r="J34" s="301">
        <f t="shared" si="7"/>
        <v>0</v>
      </c>
      <c r="K34" s="301">
        <f t="shared" si="7"/>
        <v>0</v>
      </c>
      <c r="L34" s="301">
        <f t="shared" si="7"/>
        <v>0</v>
      </c>
      <c r="M34" s="55"/>
      <c r="N34" s="172"/>
    </row>
    <row r="35" spans="2:14" x14ac:dyDescent="0.25">
      <c r="B35" s="56" t="s">
        <v>742</v>
      </c>
      <c r="C35" s="18" t="s">
        <v>929</v>
      </c>
      <c r="D35" s="380">
        <f>+D31-D41-D38-D49-D60-D36-D37</f>
        <v>0</v>
      </c>
      <c r="E35" s="123">
        <f>+D35+'9.3_nvo'!E42</f>
        <v>0</v>
      </c>
      <c r="F35" s="123">
        <f>+E35+'9.3_nvo'!F42</f>
        <v>0</v>
      </c>
      <c r="G35" s="123">
        <f>+F35+'9.3_nvo'!G42</f>
        <v>0</v>
      </c>
      <c r="H35" s="123">
        <f>+G35+'9.3_nvo'!H42</f>
        <v>0</v>
      </c>
      <c r="I35" s="123">
        <f>+H35+'9.3_nvo'!I42</f>
        <v>0</v>
      </c>
      <c r="J35" s="123">
        <f>+I35+'9.3_nvo'!J42</f>
        <v>0</v>
      </c>
      <c r="K35" s="123">
        <f>+J35+'9.3_nvo'!K42</f>
        <v>0</v>
      </c>
      <c r="L35" s="123">
        <f>+K35+'9.3_nvo'!L42</f>
        <v>0</v>
      </c>
      <c r="M35" s="55"/>
      <c r="N35" s="172" t="s">
        <v>1032</v>
      </c>
    </row>
    <row r="36" spans="2:14" x14ac:dyDescent="0.25">
      <c r="B36" s="56" t="s">
        <v>746</v>
      </c>
      <c r="C36" s="18" t="s">
        <v>127</v>
      </c>
      <c r="D36" s="145"/>
      <c r="E36" s="287">
        <f>+D36</f>
        <v>0</v>
      </c>
      <c r="F36" s="287">
        <f t="shared" ref="F36:L36" si="8">+E36</f>
        <v>0</v>
      </c>
      <c r="G36" s="287">
        <f t="shared" si="8"/>
        <v>0</v>
      </c>
      <c r="H36" s="287">
        <f t="shared" si="8"/>
        <v>0</v>
      </c>
      <c r="I36" s="287">
        <f t="shared" si="8"/>
        <v>0</v>
      </c>
      <c r="J36" s="287">
        <f t="shared" si="8"/>
        <v>0</v>
      </c>
      <c r="K36" s="287">
        <f t="shared" si="8"/>
        <v>0</v>
      </c>
      <c r="L36" s="287">
        <f t="shared" si="8"/>
        <v>0</v>
      </c>
      <c r="N36" s="172" t="s">
        <v>1029</v>
      </c>
    </row>
    <row r="37" spans="2:14" x14ac:dyDescent="0.25">
      <c r="B37" s="56" t="s">
        <v>747</v>
      </c>
      <c r="C37" s="18" t="s">
        <v>932</v>
      </c>
      <c r="D37" s="145"/>
      <c r="E37" s="287">
        <f>+D37</f>
        <v>0</v>
      </c>
      <c r="F37" s="287">
        <f t="shared" ref="F37:L37" si="9">+E37</f>
        <v>0</v>
      </c>
      <c r="G37" s="287">
        <f t="shared" si="9"/>
        <v>0</v>
      </c>
      <c r="H37" s="287">
        <f t="shared" si="9"/>
        <v>0</v>
      </c>
      <c r="I37" s="287">
        <f t="shared" si="9"/>
        <v>0</v>
      </c>
      <c r="J37" s="287">
        <f t="shared" si="9"/>
        <v>0</v>
      </c>
      <c r="K37" s="287">
        <f t="shared" si="9"/>
        <v>0</v>
      </c>
      <c r="L37" s="287">
        <f t="shared" si="9"/>
        <v>0</v>
      </c>
      <c r="N37" s="172" t="s">
        <v>1029</v>
      </c>
    </row>
    <row r="38" spans="2:14" x14ac:dyDescent="0.25">
      <c r="B38" s="56" t="s">
        <v>748</v>
      </c>
      <c r="C38" s="18" t="s">
        <v>931</v>
      </c>
      <c r="D38" s="287">
        <f>SUM(D39:D40)</f>
        <v>0</v>
      </c>
      <c r="E38" s="287">
        <f>SUM(E39:E40)</f>
        <v>0</v>
      </c>
      <c r="F38" s="287">
        <f t="shared" ref="F38:L38" si="10">SUM(F39:F40)</f>
        <v>0</v>
      </c>
      <c r="G38" s="287">
        <f t="shared" si="10"/>
        <v>0</v>
      </c>
      <c r="H38" s="287">
        <f t="shared" si="10"/>
        <v>0</v>
      </c>
      <c r="I38" s="287">
        <f t="shared" si="10"/>
        <v>0</v>
      </c>
      <c r="J38" s="287">
        <f t="shared" si="10"/>
        <v>0</v>
      </c>
      <c r="K38" s="287">
        <f t="shared" si="10"/>
        <v>0</v>
      </c>
      <c r="L38" s="287">
        <f t="shared" si="10"/>
        <v>0</v>
      </c>
      <c r="N38" s="172"/>
    </row>
    <row r="39" spans="2:14" x14ac:dyDescent="0.25">
      <c r="B39" s="56" t="s">
        <v>1008</v>
      </c>
      <c r="C39" s="18" t="s">
        <v>811</v>
      </c>
      <c r="D39" s="380">
        <f>'9.2_nvo'!D27</f>
        <v>0</v>
      </c>
      <c r="E39" s="287">
        <f>'9.2_nvo'!E27</f>
        <v>0</v>
      </c>
      <c r="F39" s="287">
        <f>'9.2_nvo'!F27</f>
        <v>0</v>
      </c>
      <c r="G39" s="287">
        <f>'9.2_nvo'!G27</f>
        <v>0</v>
      </c>
      <c r="H39" s="287">
        <f>'9.2_nvo'!H27</f>
        <v>0</v>
      </c>
      <c r="I39" s="287">
        <f>'9.2_nvo'!I27</f>
        <v>0</v>
      </c>
      <c r="J39" s="287">
        <f>'9.2_nvo'!J27</f>
        <v>0</v>
      </c>
      <c r="K39" s="287">
        <f>'9.2_nvo'!K27</f>
        <v>0</v>
      </c>
      <c r="L39" s="287">
        <f>'9.2_nvo'!L27</f>
        <v>0</v>
      </c>
      <c r="N39" s="172" t="s">
        <v>1032</v>
      </c>
    </row>
    <row r="40" spans="2:14" x14ac:dyDescent="0.25">
      <c r="B40" s="56" t="s">
        <v>1009</v>
      </c>
      <c r="C40" s="18" t="s">
        <v>812</v>
      </c>
      <c r="D40" s="145"/>
      <c r="E40" s="287">
        <f>D38</f>
        <v>0</v>
      </c>
      <c r="F40" s="287">
        <f>E38</f>
        <v>0</v>
      </c>
      <c r="G40" s="287">
        <f t="shared" ref="G40:L40" si="11">F38</f>
        <v>0</v>
      </c>
      <c r="H40" s="287">
        <f t="shared" si="11"/>
        <v>0</v>
      </c>
      <c r="I40" s="287">
        <f t="shared" si="11"/>
        <v>0</v>
      </c>
      <c r="J40" s="287">
        <f t="shared" si="11"/>
        <v>0</v>
      </c>
      <c r="K40" s="287">
        <f t="shared" si="11"/>
        <v>0</v>
      </c>
      <c r="L40" s="287">
        <f t="shared" si="11"/>
        <v>0</v>
      </c>
      <c r="N40" s="172"/>
    </row>
    <row r="41" spans="2:14" x14ac:dyDescent="0.25">
      <c r="B41" s="195" t="s">
        <v>132</v>
      </c>
      <c r="C41" s="196" t="s">
        <v>813</v>
      </c>
      <c r="D41" s="294">
        <f t="shared" ref="D41:L41" si="12">SUM(D42:D43,D47:D48)</f>
        <v>0</v>
      </c>
      <c r="E41" s="294">
        <f t="shared" si="12"/>
        <v>0</v>
      </c>
      <c r="F41" s="294">
        <f t="shared" si="12"/>
        <v>0</v>
      </c>
      <c r="G41" s="294">
        <f t="shared" si="12"/>
        <v>0</v>
      </c>
      <c r="H41" s="294">
        <f t="shared" si="12"/>
        <v>0</v>
      </c>
      <c r="I41" s="294">
        <f t="shared" si="12"/>
        <v>0</v>
      </c>
      <c r="J41" s="294">
        <f t="shared" si="12"/>
        <v>0</v>
      </c>
      <c r="K41" s="294">
        <f t="shared" si="12"/>
        <v>0</v>
      </c>
      <c r="L41" s="294">
        <f t="shared" si="12"/>
        <v>0</v>
      </c>
      <c r="M41" s="55"/>
      <c r="N41" s="172"/>
    </row>
    <row r="42" spans="2:14" x14ac:dyDescent="0.25">
      <c r="B42" s="56" t="s">
        <v>749</v>
      </c>
      <c r="C42" s="18" t="s">
        <v>967</v>
      </c>
      <c r="D42" s="145"/>
      <c r="E42" s="145"/>
      <c r="F42" s="145"/>
      <c r="G42" s="145"/>
      <c r="H42" s="145"/>
      <c r="I42" s="145"/>
      <c r="J42" s="145"/>
      <c r="K42" s="145"/>
      <c r="L42" s="145"/>
      <c r="M42" s="55"/>
      <c r="N42" s="172" t="s">
        <v>1033</v>
      </c>
    </row>
    <row r="43" spans="2:14" x14ac:dyDescent="0.25">
      <c r="B43" s="56" t="s">
        <v>752</v>
      </c>
      <c r="C43" s="18" t="s">
        <v>814</v>
      </c>
      <c r="D43" s="287">
        <f>SUM(D44:D46)</f>
        <v>0</v>
      </c>
      <c r="E43" s="287">
        <f t="shared" ref="E43:L43" si="13">SUM(E44:E46)</f>
        <v>0</v>
      </c>
      <c r="F43" s="287">
        <f t="shared" si="13"/>
        <v>0</v>
      </c>
      <c r="G43" s="287">
        <f t="shared" si="13"/>
        <v>0</v>
      </c>
      <c r="H43" s="287">
        <f t="shared" si="13"/>
        <v>0</v>
      </c>
      <c r="I43" s="287">
        <f t="shared" si="13"/>
        <v>0</v>
      </c>
      <c r="J43" s="287">
        <f t="shared" si="13"/>
        <v>0</v>
      </c>
      <c r="K43" s="287">
        <f t="shared" si="13"/>
        <v>0</v>
      </c>
      <c r="L43" s="287">
        <f t="shared" si="13"/>
        <v>0</v>
      </c>
      <c r="M43" s="55"/>
      <c r="N43" s="126"/>
    </row>
    <row r="44" spans="2:14" ht="36" x14ac:dyDescent="0.25">
      <c r="B44" s="56" t="s">
        <v>753</v>
      </c>
      <c r="C44" s="18" t="s">
        <v>971</v>
      </c>
      <c r="D44" s="145"/>
      <c r="E44" s="145"/>
      <c r="F44" s="145"/>
      <c r="G44" s="145"/>
      <c r="H44" s="145"/>
      <c r="I44" s="145"/>
      <c r="J44" s="145"/>
      <c r="K44" s="145"/>
      <c r="L44" s="145"/>
      <c r="M44" s="55"/>
      <c r="N44" s="126"/>
    </row>
    <row r="45" spans="2:14" ht="24" x14ac:dyDescent="0.25">
      <c r="B45" s="56" t="s">
        <v>754</v>
      </c>
      <c r="C45" s="18" t="s">
        <v>970</v>
      </c>
      <c r="D45" s="145"/>
      <c r="E45" s="287">
        <f>D45+'9.3'!E58+'7'!D13</f>
        <v>0</v>
      </c>
      <c r="F45" s="287">
        <f>E45+'9.3'!F58+'7'!E13</f>
        <v>0</v>
      </c>
      <c r="G45" s="287">
        <f>F45+'9.3'!G58+'7'!F13</f>
        <v>0</v>
      </c>
      <c r="H45" s="287">
        <f>G45+'9.3'!H58+'7'!G13</f>
        <v>0</v>
      </c>
      <c r="I45" s="287">
        <f>H45+'9.3'!I58+'7'!H13</f>
        <v>0</v>
      </c>
      <c r="J45" s="287">
        <f>I45+'9.3'!J58+'7'!I13</f>
        <v>0</v>
      </c>
      <c r="K45" s="287">
        <f>J45+'9.3'!K58+'7'!J13</f>
        <v>0</v>
      </c>
      <c r="L45" s="287">
        <f>K45+'9.3'!L58+'7'!K13</f>
        <v>0</v>
      </c>
      <c r="M45" s="55"/>
      <c r="N45" s="126" t="str">
        <f>IF(COUNTIFS(D45:L45,"&lt;0")&gt;1,"Klaida! Dotacijų likutis negali būti neigiamas!","ok")</f>
        <v>ok</v>
      </c>
    </row>
    <row r="46" spans="2:14" x14ac:dyDescent="0.25">
      <c r="B46" s="56" t="s">
        <v>755</v>
      </c>
      <c r="C46" s="18" t="s">
        <v>816</v>
      </c>
      <c r="D46" s="145"/>
      <c r="E46" s="287"/>
      <c r="F46" s="287"/>
      <c r="G46" s="287"/>
      <c r="H46" s="287"/>
      <c r="I46" s="287"/>
      <c r="J46" s="287"/>
      <c r="K46" s="287"/>
      <c r="L46" s="287"/>
      <c r="M46" s="55"/>
      <c r="N46" s="126" t="s">
        <v>591</v>
      </c>
    </row>
    <row r="47" spans="2:14" x14ac:dyDescent="0.25">
      <c r="B47" s="56" t="s">
        <v>764</v>
      </c>
      <c r="C47" s="18" t="s">
        <v>817</v>
      </c>
      <c r="D47" s="145"/>
      <c r="E47" s="145"/>
      <c r="F47" s="145"/>
      <c r="G47" s="145"/>
      <c r="H47" s="145"/>
      <c r="I47" s="145"/>
      <c r="J47" s="145"/>
      <c r="K47" s="145"/>
      <c r="L47" s="145"/>
      <c r="M47" s="55"/>
      <c r="N47" s="126" t="s">
        <v>1021</v>
      </c>
    </row>
    <row r="48" spans="2:14" x14ac:dyDescent="0.25">
      <c r="B48" s="56" t="s">
        <v>1010</v>
      </c>
      <c r="C48" s="18" t="s">
        <v>818</v>
      </c>
      <c r="D48" s="145"/>
      <c r="E48" s="287"/>
      <c r="F48" s="287"/>
      <c r="G48" s="287"/>
      <c r="H48" s="287"/>
      <c r="I48" s="287"/>
      <c r="J48" s="287"/>
      <c r="K48" s="287"/>
      <c r="L48" s="287"/>
      <c r="M48" s="55"/>
      <c r="N48" s="126" t="s">
        <v>591</v>
      </c>
    </row>
    <row r="49" spans="2:14" ht="24" x14ac:dyDescent="0.25">
      <c r="B49" s="195" t="s">
        <v>136</v>
      </c>
      <c r="C49" s="196" t="s">
        <v>137</v>
      </c>
      <c r="D49" s="294">
        <f t="shared" ref="D49:L49" si="14">SUM(D50,D53)</f>
        <v>0</v>
      </c>
      <c r="E49" s="294">
        <f t="shared" si="14"/>
        <v>0</v>
      </c>
      <c r="F49" s="294">
        <f t="shared" si="14"/>
        <v>0</v>
      </c>
      <c r="G49" s="294">
        <f t="shared" si="14"/>
        <v>0</v>
      </c>
      <c r="H49" s="294">
        <f t="shared" si="14"/>
        <v>0</v>
      </c>
      <c r="I49" s="294">
        <f t="shared" si="14"/>
        <v>0</v>
      </c>
      <c r="J49" s="294">
        <f t="shared" si="14"/>
        <v>0</v>
      </c>
      <c r="K49" s="294">
        <f t="shared" si="14"/>
        <v>0</v>
      </c>
      <c r="L49" s="294">
        <f t="shared" si="14"/>
        <v>0</v>
      </c>
      <c r="N49" s="172"/>
    </row>
    <row r="50" spans="2:14" x14ac:dyDescent="0.25">
      <c r="B50" s="56" t="s">
        <v>1011</v>
      </c>
      <c r="C50" s="18" t="s">
        <v>819</v>
      </c>
      <c r="D50" s="287">
        <f t="shared" ref="D50:L50" si="15">SUM(D51:D52)</f>
        <v>0</v>
      </c>
      <c r="E50" s="287">
        <f t="shared" si="15"/>
        <v>0</v>
      </c>
      <c r="F50" s="287">
        <f t="shared" si="15"/>
        <v>0</v>
      </c>
      <c r="G50" s="287">
        <f t="shared" si="15"/>
        <v>0</v>
      </c>
      <c r="H50" s="287">
        <f t="shared" si="15"/>
        <v>0</v>
      </c>
      <c r="I50" s="287">
        <f t="shared" si="15"/>
        <v>0</v>
      </c>
      <c r="J50" s="287">
        <f t="shared" si="15"/>
        <v>0</v>
      </c>
      <c r="K50" s="287">
        <f t="shared" si="15"/>
        <v>0</v>
      </c>
      <c r="L50" s="287">
        <f t="shared" si="15"/>
        <v>0</v>
      </c>
      <c r="M50" s="55"/>
      <c r="N50" s="172"/>
    </row>
    <row r="51" spans="2:14" x14ac:dyDescent="0.25">
      <c r="B51" s="56" t="s">
        <v>1012</v>
      </c>
      <c r="C51" s="18" t="s">
        <v>820</v>
      </c>
      <c r="D51" s="287">
        <f>'8'!D17+'8'!D19-'8'!D21-'8'!D24  +  '8'!D33-'8'!D34</f>
        <v>0</v>
      </c>
      <c r="E51" s="287">
        <f>'8'!E17+'8'!E19-'8'!E21-'8'!E24  +  '8'!E33-'8'!E34</f>
        <v>0</v>
      </c>
      <c r="F51" s="287">
        <f>'8'!F17+'8'!F19-'8'!F21-'8'!F24  +  '8'!F33-'8'!F34</f>
        <v>0</v>
      </c>
      <c r="G51" s="287">
        <f>'8'!G17+'8'!G19-'8'!G21-'8'!G24  +  '8'!G33-'8'!G34</f>
        <v>0</v>
      </c>
      <c r="H51" s="287">
        <f>'8'!H17+'8'!H19-'8'!H21-'8'!H24  +  '8'!H33-'8'!H34</f>
        <v>0</v>
      </c>
      <c r="I51" s="287">
        <f>'8'!I17+'8'!I19-'8'!I21-'8'!I24  +  '8'!I33-'8'!I34</f>
        <v>0</v>
      </c>
      <c r="J51" s="287">
        <f>'8'!J17+'8'!J19-'8'!J21-'8'!J24  +  '8'!J33-'8'!J34</f>
        <v>0</v>
      </c>
      <c r="K51" s="287">
        <f>'8'!K17+'8'!K19-'8'!K21-'8'!K24  +  '8'!K33-'8'!K34</f>
        <v>0</v>
      </c>
      <c r="L51" s="287">
        <f>'8'!L17+'8'!L19-'8'!L21-'8'!L24  +  '8'!L33-'8'!L34</f>
        <v>0</v>
      </c>
      <c r="M51" s="55"/>
      <c r="N51" s="307"/>
    </row>
    <row r="52" spans="2:14" x14ac:dyDescent="0.25">
      <c r="B52" s="56" t="s">
        <v>1013</v>
      </c>
      <c r="C52" s="18" t="s">
        <v>821</v>
      </c>
      <c r="D52" s="145"/>
      <c r="E52" s="145"/>
      <c r="F52" s="145"/>
      <c r="G52" s="145"/>
      <c r="H52" s="145"/>
      <c r="I52" s="145"/>
      <c r="J52" s="145"/>
      <c r="K52" s="145"/>
      <c r="L52" s="145"/>
      <c r="M52" s="173"/>
      <c r="N52" s="172"/>
    </row>
    <row r="53" spans="2:14" x14ac:dyDescent="0.25">
      <c r="B53" s="56" t="s">
        <v>1014</v>
      </c>
      <c r="C53" s="18" t="s">
        <v>822</v>
      </c>
      <c r="D53" s="287">
        <f t="shared" ref="D53:L53" si="16">SUM(D54:D59)</f>
        <v>0</v>
      </c>
      <c r="E53" s="287">
        <f t="shared" si="16"/>
        <v>0</v>
      </c>
      <c r="F53" s="287">
        <f t="shared" si="16"/>
        <v>0</v>
      </c>
      <c r="G53" s="287">
        <f t="shared" si="16"/>
        <v>0</v>
      </c>
      <c r="H53" s="287">
        <f t="shared" si="16"/>
        <v>0</v>
      </c>
      <c r="I53" s="287">
        <f t="shared" si="16"/>
        <v>0</v>
      </c>
      <c r="J53" s="287">
        <f t="shared" si="16"/>
        <v>0</v>
      </c>
      <c r="K53" s="287">
        <f t="shared" si="16"/>
        <v>0</v>
      </c>
      <c r="L53" s="287">
        <f t="shared" si="16"/>
        <v>0</v>
      </c>
      <c r="N53" s="172"/>
    </row>
    <row r="54" spans="2:14" x14ac:dyDescent="0.25">
      <c r="B54" s="56" t="s">
        <v>1015</v>
      </c>
      <c r="C54" s="18" t="s">
        <v>842</v>
      </c>
      <c r="D54" s="287">
        <f>'8'!D24+'8'!D34</f>
        <v>0</v>
      </c>
      <c r="E54" s="287">
        <f>'8'!E24+'8'!E34</f>
        <v>0</v>
      </c>
      <c r="F54" s="287">
        <f>'8'!F24+'8'!F34</f>
        <v>0</v>
      </c>
      <c r="G54" s="287">
        <f>'8'!G24+'8'!G34</f>
        <v>0</v>
      </c>
      <c r="H54" s="287">
        <f>'8'!H24+'8'!H34</f>
        <v>0</v>
      </c>
      <c r="I54" s="287">
        <f>'8'!I24+'8'!I34</f>
        <v>0</v>
      </c>
      <c r="J54" s="287">
        <f>'8'!J24+'8'!J34</f>
        <v>0</v>
      </c>
      <c r="K54" s="287">
        <f>'8'!K24+'8'!K34</f>
        <v>0</v>
      </c>
      <c r="L54" s="287">
        <f>'8'!L24+'8'!L34</f>
        <v>0</v>
      </c>
      <c r="M54" s="58"/>
      <c r="N54" s="172"/>
    </row>
    <row r="55" spans="2:14" x14ac:dyDescent="0.25">
      <c r="B55" s="56" t="s">
        <v>1016</v>
      </c>
      <c r="C55" s="18" t="s">
        <v>820</v>
      </c>
      <c r="D55" s="287">
        <f>'8'!D18+'8'!D20-'8'!D22</f>
        <v>0</v>
      </c>
      <c r="E55" s="287">
        <f>'8'!E18+'8'!E20-'8'!E22</f>
        <v>0</v>
      </c>
      <c r="F55" s="287">
        <f>'8'!F18+'8'!F20-'8'!F22</f>
        <v>0</v>
      </c>
      <c r="G55" s="287">
        <f>'8'!G18+'8'!G20-'8'!G22</f>
        <v>0</v>
      </c>
      <c r="H55" s="287">
        <f>'8'!H18+'8'!H20-'8'!H22</f>
        <v>0</v>
      </c>
      <c r="I55" s="287">
        <f>'8'!I18+'8'!I20-'8'!I22</f>
        <v>0</v>
      </c>
      <c r="J55" s="287">
        <f>'8'!J18+'8'!J20-'8'!J22</f>
        <v>0</v>
      </c>
      <c r="K55" s="287">
        <f>'8'!K18+'8'!K20-'8'!K22</f>
        <v>0</v>
      </c>
      <c r="L55" s="287">
        <f>'8'!L18+'8'!L20-'8'!L22</f>
        <v>0</v>
      </c>
      <c r="M55" s="55"/>
      <c r="N55" s="172"/>
    </row>
    <row r="56" spans="2:14" x14ac:dyDescent="0.25">
      <c r="B56" s="56" t="s">
        <v>1017</v>
      </c>
      <c r="C56" s="18" t="s">
        <v>142</v>
      </c>
      <c r="D56" s="121"/>
      <c r="E56" s="121"/>
      <c r="F56" s="121"/>
      <c r="G56" s="121"/>
      <c r="H56" s="121"/>
      <c r="I56" s="121"/>
      <c r="J56" s="121"/>
      <c r="K56" s="121"/>
      <c r="L56" s="121"/>
      <c r="N56" s="307"/>
    </row>
    <row r="57" spans="2:14" x14ac:dyDescent="0.25">
      <c r="B57" s="56" t="s">
        <v>1018</v>
      </c>
      <c r="C57" s="18" t="s">
        <v>823</v>
      </c>
      <c r="D57" s="121"/>
      <c r="E57" s="121"/>
      <c r="F57" s="121"/>
      <c r="G57" s="121"/>
      <c r="H57" s="121"/>
      <c r="I57" s="121"/>
      <c r="J57" s="121"/>
      <c r="K57" s="121"/>
      <c r="L57" s="121"/>
      <c r="N57" s="172"/>
    </row>
    <row r="58" spans="2:14" x14ac:dyDescent="0.25">
      <c r="B58" s="56" t="s">
        <v>1019</v>
      </c>
      <c r="C58" s="18" t="s">
        <v>146</v>
      </c>
      <c r="D58" s="121"/>
      <c r="E58" s="121"/>
      <c r="F58" s="121"/>
      <c r="G58" s="121"/>
      <c r="H58" s="121"/>
      <c r="I58" s="121"/>
      <c r="J58" s="121"/>
      <c r="K58" s="121"/>
      <c r="L58" s="121"/>
      <c r="N58" s="172"/>
    </row>
    <row r="59" spans="2:14" x14ac:dyDescent="0.25">
      <c r="B59" s="56" t="s">
        <v>1020</v>
      </c>
      <c r="C59" s="18" t="s">
        <v>824</v>
      </c>
      <c r="D59" s="121"/>
      <c r="E59" s="121"/>
      <c r="F59" s="121"/>
      <c r="G59" s="121"/>
      <c r="H59" s="121"/>
      <c r="I59" s="121"/>
      <c r="J59" s="121"/>
      <c r="K59" s="121"/>
      <c r="L59" s="121"/>
      <c r="N59" s="172"/>
    </row>
    <row r="60" spans="2:14" ht="24" x14ac:dyDescent="0.25">
      <c r="B60" s="195" t="s">
        <v>148</v>
      </c>
      <c r="C60" s="196" t="s">
        <v>149</v>
      </c>
      <c r="D60" s="302"/>
      <c r="E60" s="302"/>
      <c r="F60" s="302"/>
      <c r="G60" s="302"/>
      <c r="H60" s="302"/>
      <c r="I60" s="302"/>
      <c r="J60" s="302"/>
      <c r="K60" s="302"/>
      <c r="L60" s="302"/>
      <c r="N60" s="307"/>
    </row>
    <row r="61" spans="2:14" s="60" customFormat="1" ht="23.25" customHeight="1" x14ac:dyDescent="0.25">
      <c r="B61" s="318"/>
      <c r="C61" s="318" t="s">
        <v>572</v>
      </c>
      <c r="D61" s="256">
        <f t="shared" ref="D61:L61" si="17">SUM(D34,D41,D49,D60)</f>
        <v>0</v>
      </c>
      <c r="E61" s="256">
        <f t="shared" si="17"/>
        <v>0</v>
      </c>
      <c r="F61" s="256">
        <f t="shared" si="17"/>
        <v>0</v>
      </c>
      <c r="G61" s="256">
        <f t="shared" si="17"/>
        <v>0</v>
      </c>
      <c r="H61" s="256">
        <f t="shared" si="17"/>
        <v>0</v>
      </c>
      <c r="I61" s="256">
        <f t="shared" si="17"/>
        <v>0</v>
      </c>
      <c r="J61" s="256">
        <f t="shared" si="17"/>
        <v>0</v>
      </c>
      <c r="K61" s="256">
        <f t="shared" si="17"/>
        <v>0</v>
      </c>
      <c r="L61" s="256">
        <f t="shared" si="17"/>
        <v>0</v>
      </c>
      <c r="M61" s="59"/>
      <c r="N61" s="172"/>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D7" activePane="bottomRight" state="frozen"/>
      <selection activeCell="J29" sqref="J29"/>
      <selection pane="topRight" activeCell="J29" sqref="J29"/>
      <selection pane="bottomLeft" activeCell="J29" sqref="J29"/>
      <selection pane="bottomRight" activeCell="F19" sqref="F19"/>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26" t="str">
        <f>IF((COUNTIFS(D2:L2,"&gt;3")+COUNTIFS(D2:L2,"&lt;-3"))&gt;0,"Klaida! Patikrinkite duomenis, turtas iš viso nėra lygus nuosavybei ir įsipareigojimams iš viso","ok")</f>
        <v>ok</v>
      </c>
    </row>
    <row r="3" spans="2:14" x14ac:dyDescent="0.25">
      <c r="B3" s="202" t="s">
        <v>406</v>
      </c>
      <c r="C3" s="405" t="s">
        <v>843</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62" t="s">
        <v>417</v>
      </c>
      <c r="C7" s="63" t="s">
        <v>793</v>
      </c>
      <c r="D7" s="122">
        <f t="shared" ref="D7:L7" si="0">SUM(D8:D11,D15)</f>
        <v>0</v>
      </c>
      <c r="E7" s="122">
        <f t="shared" si="0"/>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825</v>
      </c>
      <c r="C8" s="65" t="s">
        <v>241</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826</v>
      </c>
      <c r="C9" s="65" t="s">
        <v>242</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827</v>
      </c>
      <c r="C10" s="65" t="s">
        <v>244</v>
      </c>
      <c r="D10" s="122">
        <f>+'4'!D9</f>
        <v>0</v>
      </c>
      <c r="E10" s="122">
        <f>+'4'!E9</f>
        <v>0</v>
      </c>
      <c r="F10" s="122">
        <f>+'4'!F9</f>
        <v>0</v>
      </c>
      <c r="G10" s="122">
        <f>+'4'!G9</f>
        <v>0</v>
      </c>
      <c r="H10" s="122">
        <f>+'4'!H9</f>
        <v>0</v>
      </c>
      <c r="I10" s="122">
        <f>+'4'!I9</f>
        <v>0</v>
      </c>
      <c r="J10" s="122">
        <f>+'4'!J9</f>
        <v>0</v>
      </c>
      <c r="K10" s="122">
        <f>+'4'!K9</f>
        <v>0</v>
      </c>
      <c r="L10" s="122">
        <f>+'4'!L9</f>
        <v>0</v>
      </c>
      <c r="M10" s="64"/>
      <c r="N10" s="172"/>
    </row>
    <row r="11" spans="2:14" x14ac:dyDescent="0.25">
      <c r="B11" s="21" t="s">
        <v>828</v>
      </c>
      <c r="C11" s="65" t="s">
        <v>794</v>
      </c>
      <c r="D11" s="122">
        <f>SUM(D12:D14)</f>
        <v>0</v>
      </c>
      <c r="E11" s="122">
        <f>SUM(E12:E14)</f>
        <v>0</v>
      </c>
      <c r="F11" s="122">
        <f t="shared" ref="F11:L11" si="1">SUM(F12:F14)</f>
        <v>0</v>
      </c>
      <c r="G11" s="122">
        <f t="shared" si="1"/>
        <v>0</v>
      </c>
      <c r="H11" s="122">
        <f t="shared" si="1"/>
        <v>0</v>
      </c>
      <c r="I11" s="122">
        <f t="shared" si="1"/>
        <v>0</v>
      </c>
      <c r="J11" s="122">
        <f t="shared" si="1"/>
        <v>0</v>
      </c>
      <c r="K11" s="122">
        <f t="shared" si="1"/>
        <v>0</v>
      </c>
      <c r="L11" s="122">
        <f t="shared" si="1"/>
        <v>0</v>
      </c>
      <c r="M11" s="64"/>
      <c r="N11" s="172"/>
    </row>
    <row r="12" spans="2:14" ht="48" x14ac:dyDescent="0.25">
      <c r="B12" s="404" t="s">
        <v>829</v>
      </c>
      <c r="C12" s="65" t="s">
        <v>972</v>
      </c>
      <c r="D12" s="121"/>
      <c r="E12" s="121"/>
      <c r="F12" s="121"/>
      <c r="G12" s="121"/>
      <c r="H12" s="121"/>
      <c r="I12" s="121"/>
      <c r="J12" s="121"/>
      <c r="K12" s="121"/>
      <c r="L12" s="121"/>
      <c r="M12" s="64"/>
      <c r="N12" s="172"/>
    </row>
    <row r="13" spans="2:14" ht="24" x14ac:dyDescent="0.25">
      <c r="B13" s="404" t="s">
        <v>830</v>
      </c>
      <c r="C13" s="65" t="s">
        <v>973</v>
      </c>
      <c r="D13" s="122">
        <f>-'7'!C13</f>
        <v>0</v>
      </c>
      <c r="E13" s="122">
        <f>-'7'!D13</f>
        <v>0</v>
      </c>
      <c r="F13" s="122">
        <f>-'7'!E13</f>
        <v>0</v>
      </c>
      <c r="G13" s="122">
        <f>-'7'!F13</f>
        <v>0</v>
      </c>
      <c r="H13" s="122">
        <f>-'7'!G13</f>
        <v>0</v>
      </c>
      <c r="I13" s="122">
        <f>-'7'!H13</f>
        <v>0</v>
      </c>
      <c r="J13" s="122">
        <f>-'7'!I13</f>
        <v>0</v>
      </c>
      <c r="K13" s="122">
        <f>-'7'!J13</f>
        <v>0</v>
      </c>
      <c r="L13" s="122">
        <f>-'7'!K13</f>
        <v>0</v>
      </c>
      <c r="M13" s="64"/>
      <c r="N13" s="172"/>
    </row>
    <row r="14" spans="2:14" x14ac:dyDescent="0.25">
      <c r="B14" s="404" t="s">
        <v>847</v>
      </c>
      <c r="C14" s="65" t="s">
        <v>795</v>
      </c>
      <c r="D14" s="121"/>
      <c r="E14" s="121"/>
      <c r="F14" s="121"/>
      <c r="G14" s="121"/>
      <c r="H14" s="121"/>
      <c r="I14" s="121"/>
      <c r="J14" s="121"/>
      <c r="K14" s="121"/>
      <c r="L14" s="121"/>
      <c r="M14" s="64"/>
      <c r="N14" s="414" t="s">
        <v>1003</v>
      </c>
    </row>
    <row r="15" spans="2:14" x14ac:dyDescent="0.25">
      <c r="B15" s="21" t="s">
        <v>831</v>
      </c>
      <c r="C15" s="65" t="s">
        <v>796</v>
      </c>
      <c r="D15" s="121"/>
      <c r="E15" s="121"/>
      <c r="F15" s="121"/>
      <c r="G15" s="121"/>
      <c r="H15" s="122"/>
      <c r="I15" s="122"/>
      <c r="J15" s="122"/>
      <c r="K15" s="122"/>
      <c r="L15" s="122"/>
      <c r="M15" s="64"/>
      <c r="N15" s="414" t="s">
        <v>1001</v>
      </c>
    </row>
    <row r="16" spans="2:14" x14ac:dyDescent="0.25">
      <c r="B16" s="21" t="s">
        <v>419</v>
      </c>
      <c r="C16" s="65" t="s">
        <v>797</v>
      </c>
      <c r="D16" s="287">
        <f>SUM(D17:D19)</f>
        <v>0</v>
      </c>
      <c r="E16" s="287">
        <f t="shared" ref="E16:L16" si="2">SUM(E17:E19)</f>
        <v>0</v>
      </c>
      <c r="F16" s="287">
        <f>SUM(F17:F19)</f>
        <v>0</v>
      </c>
      <c r="G16" s="287">
        <f t="shared" si="2"/>
        <v>0</v>
      </c>
      <c r="H16" s="287">
        <f t="shared" si="2"/>
        <v>0</v>
      </c>
      <c r="I16" s="287">
        <f t="shared" si="2"/>
        <v>0</v>
      </c>
      <c r="J16" s="287">
        <f t="shared" si="2"/>
        <v>0</v>
      </c>
      <c r="K16" s="287">
        <f t="shared" si="2"/>
        <v>0</v>
      </c>
      <c r="L16" s="287">
        <f t="shared" si="2"/>
        <v>0</v>
      </c>
      <c r="M16" s="64"/>
      <c r="N16" s="172"/>
    </row>
    <row r="17" spans="2:14" ht="24" x14ac:dyDescent="0.25">
      <c r="B17" s="21" t="s">
        <v>832</v>
      </c>
      <c r="C17" s="13" t="s">
        <v>798</v>
      </c>
      <c r="D17" s="287">
        <f>-'7'!C14+'7'!C13</f>
        <v>0</v>
      </c>
      <c r="E17" s="287">
        <f>-'7'!D14+'7'!D13</f>
        <v>0</v>
      </c>
      <c r="F17" s="287">
        <f>-'7'!E14+'7'!E13</f>
        <v>0</v>
      </c>
      <c r="G17" s="287">
        <f>-'7'!F14+'7'!F13</f>
        <v>0</v>
      </c>
      <c r="H17" s="287">
        <f>-'7'!G14+'7'!G13</f>
        <v>0</v>
      </c>
      <c r="I17" s="287">
        <f>-'7'!H14+'7'!H13</f>
        <v>0</v>
      </c>
      <c r="J17" s="287">
        <f>-'7'!I14+'7'!I13</f>
        <v>0</v>
      </c>
      <c r="K17" s="287">
        <f>-'7'!J14+'7'!J13</f>
        <v>0</v>
      </c>
      <c r="L17" s="287">
        <f>-'7'!K14+'7'!K13</f>
        <v>0</v>
      </c>
      <c r="N17" s="172"/>
    </row>
    <row r="18" spans="2:14" x14ac:dyDescent="0.25">
      <c r="B18" s="21" t="s">
        <v>833</v>
      </c>
      <c r="C18" s="13" t="s">
        <v>799</v>
      </c>
      <c r="D18" s="121"/>
      <c r="E18" s="121"/>
      <c r="F18" s="121"/>
      <c r="G18" s="121"/>
      <c r="H18" s="287"/>
      <c r="I18" s="287"/>
      <c r="J18" s="287"/>
      <c r="K18" s="287"/>
      <c r="L18" s="287"/>
      <c r="N18" s="414" t="s">
        <v>1002</v>
      </c>
    </row>
    <row r="19" spans="2:14" x14ac:dyDescent="0.25">
      <c r="B19" s="21" t="s">
        <v>834</v>
      </c>
      <c r="C19" s="13" t="s">
        <v>800</v>
      </c>
      <c r="D19" s="287">
        <f>SUM(D20:D24)</f>
        <v>0</v>
      </c>
      <c r="E19" s="287">
        <f t="shared" ref="E19:L19" si="3">SUM(E20:E24)</f>
        <v>0</v>
      </c>
      <c r="F19" s="287">
        <f t="shared" si="3"/>
        <v>0</v>
      </c>
      <c r="G19" s="287">
        <f t="shared" si="3"/>
        <v>0</v>
      </c>
      <c r="H19" s="287">
        <f t="shared" si="3"/>
        <v>0</v>
      </c>
      <c r="I19" s="287">
        <f t="shared" si="3"/>
        <v>0</v>
      </c>
      <c r="J19" s="287">
        <f t="shared" si="3"/>
        <v>0</v>
      </c>
      <c r="K19" s="287">
        <f t="shared" si="3"/>
        <v>0</v>
      </c>
      <c r="L19" s="287">
        <f t="shared" si="3"/>
        <v>0</v>
      </c>
      <c r="N19" s="172"/>
    </row>
    <row r="20" spans="2:14" x14ac:dyDescent="0.25">
      <c r="B20" s="404" t="s">
        <v>836</v>
      </c>
      <c r="C20" s="13" t="s">
        <v>801</v>
      </c>
      <c r="D20" s="287">
        <f>-'7'!C21</f>
        <v>0</v>
      </c>
      <c r="E20" s="287">
        <f>-'7'!D21</f>
        <v>0</v>
      </c>
      <c r="F20" s="287">
        <f>-'7'!E21</f>
        <v>0</v>
      </c>
      <c r="G20" s="287">
        <f>-'7'!F21</f>
        <v>0</v>
      </c>
      <c r="H20" s="287">
        <f>-'7'!G21</f>
        <v>0</v>
      </c>
      <c r="I20" s="287">
        <f>-'7'!H21</f>
        <v>0</v>
      </c>
      <c r="J20" s="287">
        <f>-'7'!I21</f>
        <v>0</v>
      </c>
      <c r="K20" s="287">
        <f>-'7'!J21</f>
        <v>0</v>
      </c>
      <c r="L20" s="287">
        <f>-'7'!K21</f>
        <v>0</v>
      </c>
      <c r="N20" s="172"/>
    </row>
    <row r="21" spans="2:14" x14ac:dyDescent="0.25">
      <c r="B21" s="404" t="s">
        <v>837</v>
      </c>
      <c r="C21" s="13" t="s">
        <v>802</v>
      </c>
      <c r="D21" s="287">
        <f>-'7'!C24</f>
        <v>0</v>
      </c>
      <c r="E21" s="287">
        <f>-'7'!D24</f>
        <v>0</v>
      </c>
      <c r="F21" s="287">
        <f>-'7'!E24</f>
        <v>0</v>
      </c>
      <c r="G21" s="287">
        <f>-'7'!F24</f>
        <v>0</v>
      </c>
      <c r="H21" s="287">
        <f>-'7'!G24</f>
        <v>0</v>
      </c>
      <c r="I21" s="287">
        <f>-'7'!H24</f>
        <v>0</v>
      </c>
      <c r="J21" s="287">
        <f>-'7'!I24</f>
        <v>0</v>
      </c>
      <c r="K21" s="287">
        <f>-'7'!J24</f>
        <v>0</v>
      </c>
      <c r="L21" s="287">
        <f>-'7'!K24</f>
        <v>0</v>
      </c>
      <c r="N21" s="172"/>
    </row>
    <row r="22" spans="2:14" x14ac:dyDescent="0.25">
      <c r="B22" s="404" t="s">
        <v>838</v>
      </c>
      <c r="C22" s="13" t="s">
        <v>803</v>
      </c>
      <c r="D22" s="287">
        <f>-'7'!C23</f>
        <v>0</v>
      </c>
      <c r="E22" s="287">
        <f>-'7'!D23</f>
        <v>0</v>
      </c>
      <c r="F22" s="287">
        <f>-'7'!E23</f>
        <v>0</v>
      </c>
      <c r="G22" s="287">
        <f>-'7'!F23</f>
        <v>0</v>
      </c>
      <c r="H22" s="287">
        <f>-'7'!G23</f>
        <v>0</v>
      </c>
      <c r="I22" s="287">
        <f>-'7'!H23</f>
        <v>0</v>
      </c>
      <c r="J22" s="287">
        <f>-'7'!I23</f>
        <v>0</v>
      </c>
      <c r="K22" s="287">
        <f>-'7'!J23</f>
        <v>0</v>
      </c>
      <c r="L22" s="287">
        <f>-'7'!K23</f>
        <v>0</v>
      </c>
      <c r="N22" s="172"/>
    </row>
    <row r="23" spans="2:14" x14ac:dyDescent="0.25">
      <c r="B23" s="404" t="s">
        <v>839</v>
      </c>
      <c r="C23" s="65" t="s">
        <v>582</v>
      </c>
      <c r="D23" s="287">
        <f>-('8'!D25 + '8'!D35)</f>
        <v>0</v>
      </c>
      <c r="E23" s="287">
        <f>-('8'!E25 + '8'!E35)</f>
        <v>0</v>
      </c>
      <c r="F23" s="287">
        <f>-('8'!F25 + '8'!F35)</f>
        <v>0</v>
      </c>
      <c r="G23" s="287">
        <f>-('8'!G25 + '8'!G35)</f>
        <v>0</v>
      </c>
      <c r="H23" s="287">
        <f>-('8'!H25 + '8'!H35)</f>
        <v>0</v>
      </c>
      <c r="I23" s="287">
        <f>-('8'!I25 + '8'!I35)</f>
        <v>0</v>
      </c>
      <c r="J23" s="287">
        <f>-('8'!J25 + '8'!J35)</f>
        <v>0</v>
      </c>
      <c r="K23" s="287">
        <f>-('8'!K25 + '8'!K35)</f>
        <v>0</v>
      </c>
      <c r="L23" s="287">
        <f>-('8'!L25 + '8'!L35)</f>
        <v>0</v>
      </c>
      <c r="N23" s="172"/>
    </row>
    <row r="24" spans="2:14" x14ac:dyDescent="0.25">
      <c r="B24" s="404" t="s">
        <v>840</v>
      </c>
      <c r="C24" s="13" t="s">
        <v>835</v>
      </c>
      <c r="D24" s="287">
        <f>-'7'!C29-SUM(D21:D22)</f>
        <v>0</v>
      </c>
      <c r="E24" s="287">
        <f>-'7'!D29-SUM(E21:E22)</f>
        <v>0</v>
      </c>
      <c r="F24" s="287">
        <f>-'7'!E29-SUM(F21:F22)</f>
        <v>0</v>
      </c>
      <c r="G24" s="287">
        <f>-'7'!F29-SUM(G21:G22)</f>
        <v>0</v>
      </c>
      <c r="H24" s="287">
        <f>-'7'!G29-SUM(H21:H22)</f>
        <v>0</v>
      </c>
      <c r="I24" s="287">
        <f>-'7'!H29-SUM(I21:I22)</f>
        <v>0</v>
      </c>
      <c r="J24" s="287">
        <f>-'7'!I29-SUM(J21:J22)</f>
        <v>0</v>
      </c>
      <c r="K24" s="287">
        <f>-'7'!J29-SUM(K21:K22)</f>
        <v>0</v>
      </c>
      <c r="L24" s="287">
        <f>-'7'!K29-SUM(L21:L22)</f>
        <v>0</v>
      </c>
      <c r="N24" s="172"/>
    </row>
    <row r="25" spans="2:14" ht="24" x14ac:dyDescent="0.25">
      <c r="B25" s="21" t="s">
        <v>600</v>
      </c>
      <c r="C25" s="13" t="s">
        <v>804</v>
      </c>
      <c r="D25" s="287">
        <f>SUM(D7,D16)</f>
        <v>0</v>
      </c>
      <c r="E25" s="287">
        <f t="shared" ref="E25:L25" si="4">SUM(E7,E16)</f>
        <v>0</v>
      </c>
      <c r="F25" s="287">
        <f t="shared" si="4"/>
        <v>0</v>
      </c>
      <c r="G25" s="287">
        <f t="shared" si="4"/>
        <v>0</v>
      </c>
      <c r="H25" s="287">
        <f t="shared" si="4"/>
        <v>0</v>
      </c>
      <c r="I25" s="287">
        <f t="shared" si="4"/>
        <v>0</v>
      </c>
      <c r="J25" s="287">
        <f t="shared" si="4"/>
        <v>0</v>
      </c>
      <c r="K25" s="287">
        <f t="shared" si="4"/>
        <v>0</v>
      </c>
      <c r="L25" s="287">
        <f t="shared" si="4"/>
        <v>0</v>
      </c>
      <c r="N25" s="172"/>
    </row>
    <row r="26" spans="2:14" x14ac:dyDescent="0.25">
      <c r="B26" s="21" t="s">
        <v>601</v>
      </c>
      <c r="C26" s="65" t="s">
        <v>805</v>
      </c>
      <c r="D26" s="121"/>
      <c r="E26" s="296">
        <f t="shared" ref="E26:L26" si="5">IF((E25-E11)&lt;0,0,-((E25-E11)*E29))</f>
        <v>0</v>
      </c>
      <c r="F26" s="296">
        <f t="shared" si="5"/>
        <v>0</v>
      </c>
      <c r="G26" s="296">
        <f t="shared" si="5"/>
        <v>0</v>
      </c>
      <c r="H26" s="296">
        <f t="shared" si="5"/>
        <v>0</v>
      </c>
      <c r="I26" s="296">
        <f t="shared" si="5"/>
        <v>0</v>
      </c>
      <c r="J26" s="296">
        <f t="shared" si="5"/>
        <v>0</v>
      </c>
      <c r="K26" s="296">
        <f t="shared" si="5"/>
        <v>0</v>
      </c>
      <c r="L26" s="296">
        <f t="shared" si="5"/>
        <v>0</v>
      </c>
      <c r="N26" s="172"/>
    </row>
    <row r="27" spans="2:14" x14ac:dyDescent="0.25">
      <c r="B27" s="320" t="s">
        <v>602</v>
      </c>
      <c r="C27" s="321" t="s">
        <v>806</v>
      </c>
      <c r="D27" s="322">
        <f t="shared" ref="D27:L27" si="6">SUM(D25,D26)</f>
        <v>0</v>
      </c>
      <c r="E27" s="322">
        <f t="shared" si="6"/>
        <v>0</v>
      </c>
      <c r="F27" s="322">
        <f t="shared" si="6"/>
        <v>0</v>
      </c>
      <c r="G27" s="322">
        <f t="shared" si="6"/>
        <v>0</v>
      </c>
      <c r="H27" s="322">
        <f t="shared" si="6"/>
        <v>0</v>
      </c>
      <c r="I27" s="322">
        <f t="shared" si="6"/>
        <v>0</v>
      </c>
      <c r="J27" s="322">
        <f t="shared" si="6"/>
        <v>0</v>
      </c>
      <c r="K27" s="322">
        <f t="shared" si="6"/>
        <v>0</v>
      </c>
      <c r="L27" s="322">
        <f t="shared" si="6"/>
        <v>0</v>
      </c>
      <c r="N27" s="172"/>
    </row>
    <row r="28" spans="2:14" x14ac:dyDescent="0.25">
      <c r="D28" s="154"/>
      <c r="E28" s="154"/>
      <c r="F28" s="154"/>
      <c r="G28" s="154"/>
      <c r="H28" s="154"/>
      <c r="I28" s="154"/>
      <c r="J28" s="154"/>
      <c r="K28" s="154"/>
      <c r="L28" s="154"/>
      <c r="N28" s="172"/>
    </row>
    <row r="29" spans="2:14" x14ac:dyDescent="0.25">
      <c r="B29" s="21" t="s">
        <v>603</v>
      </c>
      <c r="C29" s="13" t="s">
        <v>408</v>
      </c>
      <c r="D29" s="297" t="str">
        <f>IFERROR(-D26/D25,"-")</f>
        <v>-</v>
      </c>
      <c r="E29" s="155">
        <v>0.15</v>
      </c>
      <c r="F29" s="155">
        <v>0.15</v>
      </c>
      <c r="G29" s="155">
        <v>0.15</v>
      </c>
      <c r="H29" s="155">
        <v>0.15</v>
      </c>
      <c r="I29" s="155">
        <v>0.15</v>
      </c>
      <c r="J29" s="155">
        <v>0.15</v>
      </c>
      <c r="K29" s="155">
        <v>0.15</v>
      </c>
      <c r="L29" s="155">
        <v>0.15</v>
      </c>
      <c r="N29" s="172"/>
    </row>
    <row r="30" spans="2:14" ht="28.9" customHeight="1" x14ac:dyDescent="0.25">
      <c r="B30" s="21" t="s">
        <v>604</v>
      </c>
      <c r="C30" s="13" t="s">
        <v>409</v>
      </c>
      <c r="D30" s="533"/>
      <c r="E30" s="534"/>
      <c r="F30" s="534"/>
      <c r="G30" s="534"/>
      <c r="H30" s="534"/>
      <c r="I30" s="534"/>
      <c r="J30" s="534"/>
      <c r="K30" s="534"/>
      <c r="L30" s="535"/>
      <c r="N30" s="156" t="s">
        <v>410</v>
      </c>
    </row>
    <row r="33" spans="4:4" x14ac:dyDescent="0.25">
      <c r="D33" s="154"/>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227</v>
      </c>
    </row>
    <row r="2" spans="1:1" s="72" customFormat="1" x14ac:dyDescent="0.25">
      <c r="A2" t="s">
        <v>228</v>
      </c>
    </row>
    <row r="3" spans="1:1" x14ac:dyDescent="0.25">
      <c r="A3" t="s">
        <v>292</v>
      </c>
    </row>
    <row r="4" spans="1:1" x14ac:dyDescent="0.25">
      <c r="A4" t="s">
        <v>291</v>
      </c>
    </row>
    <row r="5" spans="1:1" x14ac:dyDescent="0.25">
      <c r="A5" t="s">
        <v>290</v>
      </c>
    </row>
    <row r="7" spans="1:1" x14ac:dyDescent="0.25">
      <c r="A7" s="72" t="s">
        <v>230</v>
      </c>
    </row>
    <row r="8" spans="1:1" x14ac:dyDescent="0.25">
      <c r="A8" t="s">
        <v>228</v>
      </c>
    </row>
    <row r="9" spans="1:1" x14ac:dyDescent="0.25">
      <c r="A9" t="s">
        <v>289</v>
      </c>
    </row>
    <row r="10" spans="1:1" x14ac:dyDescent="0.25">
      <c r="A10" t="s">
        <v>288</v>
      </c>
    </row>
    <row r="12" spans="1:1" x14ac:dyDescent="0.25">
      <c r="A12" s="72" t="s">
        <v>232</v>
      </c>
    </row>
    <row r="13" spans="1:1" x14ac:dyDescent="0.25">
      <c r="A13" t="s">
        <v>228</v>
      </c>
    </row>
    <row r="14" spans="1:1" x14ac:dyDescent="0.25">
      <c r="A14" t="s">
        <v>287</v>
      </c>
    </row>
    <row r="15" spans="1:1" x14ac:dyDescent="0.25">
      <c r="A15" t="s">
        <v>286</v>
      </c>
    </row>
    <row r="17" spans="1:2" s="72" customFormat="1" x14ac:dyDescent="0.25">
      <c r="A17" s="72" t="s">
        <v>233</v>
      </c>
    </row>
    <row r="18" spans="1:2" x14ac:dyDescent="0.25">
      <c r="A18" t="s">
        <v>228</v>
      </c>
    </row>
    <row r="19" spans="1:2" ht="14.65" customHeight="1" x14ac:dyDescent="0.25">
      <c r="A19" t="s">
        <v>285</v>
      </c>
    </row>
    <row r="20" spans="1:2" ht="14.65" customHeight="1" x14ac:dyDescent="0.25">
      <c r="A20" t="s">
        <v>284</v>
      </c>
    </row>
    <row r="21" spans="1:2" ht="14.65" customHeight="1" x14ac:dyDescent="0.25">
      <c r="A21" t="s">
        <v>283</v>
      </c>
    </row>
    <row r="23" spans="1:2" x14ac:dyDescent="0.25">
      <c r="A23" s="72" t="s">
        <v>237</v>
      </c>
    </row>
    <row r="24" spans="1:2" x14ac:dyDescent="0.25">
      <c r="A24" t="s">
        <v>228</v>
      </c>
    </row>
    <row r="25" spans="1:2" s="72" customFormat="1" ht="14.65" customHeight="1" x14ac:dyDescent="0.25">
      <c r="A25" t="s">
        <v>282</v>
      </c>
    </row>
    <row r="26" spans="1:2" s="72" customFormat="1" ht="14.65" customHeight="1" x14ac:dyDescent="0.25">
      <c r="A26" t="s">
        <v>281</v>
      </c>
    </row>
    <row r="27" spans="1:2" s="72" customFormat="1" ht="14.65" customHeight="1" x14ac:dyDescent="0.25">
      <c r="A27" t="s">
        <v>280</v>
      </c>
    </row>
    <row r="28" spans="1:2" s="72" customFormat="1" ht="14.65" customHeight="1" x14ac:dyDescent="0.25">
      <c r="A28" t="s">
        <v>279</v>
      </c>
    </row>
    <row r="29" spans="1:2" s="72" customFormat="1" ht="14.65" customHeight="1" x14ac:dyDescent="0.25">
      <c r="A29" t="s">
        <v>278</v>
      </c>
    </row>
    <row r="30" spans="1:2" s="72" customFormat="1" ht="14.65" customHeight="1" x14ac:dyDescent="0.25">
      <c r="A30" t="s">
        <v>277</v>
      </c>
    </row>
    <row r="31" spans="1:2" s="72" customFormat="1" ht="14.65" customHeight="1" x14ac:dyDescent="0.25">
      <c r="A31" t="s">
        <v>276</v>
      </c>
    </row>
    <row r="32" spans="1:2" x14ac:dyDescent="0.25">
      <c r="A32" s="73"/>
      <c r="B32" s="73"/>
    </row>
    <row r="33" spans="1:1" s="72" customFormat="1" x14ac:dyDescent="0.25">
      <c r="A33" s="72" t="s">
        <v>246</v>
      </c>
    </row>
    <row r="34" spans="1:1" s="72" customFormat="1" x14ac:dyDescent="0.25">
      <c r="A34" t="s">
        <v>228</v>
      </c>
    </row>
    <row r="35" spans="1:1" ht="14.65" customHeight="1" x14ac:dyDescent="0.25">
      <c r="A35" t="s">
        <v>275</v>
      </c>
    </row>
    <row r="36" spans="1:1" ht="14.65" customHeight="1" x14ac:dyDescent="0.25">
      <c r="A36" t="s">
        <v>274</v>
      </c>
    </row>
    <row r="37" spans="1:1" ht="14.65" customHeight="1" x14ac:dyDescent="0.25">
      <c r="A37" t="s">
        <v>273</v>
      </c>
    </row>
    <row r="38" spans="1:1" ht="14.65" customHeight="1" x14ac:dyDescent="0.25">
      <c r="A38" t="s">
        <v>272</v>
      </c>
    </row>
    <row r="39" spans="1:1" ht="14.65" customHeight="1" x14ac:dyDescent="0.25">
      <c r="A39" t="s">
        <v>271</v>
      </c>
    </row>
    <row r="40" spans="1:1" ht="14.65" customHeight="1" x14ac:dyDescent="0.25">
      <c r="A40" t="s">
        <v>270</v>
      </c>
    </row>
    <row r="42" spans="1:1" s="72" customFormat="1" x14ac:dyDescent="0.25">
      <c r="A42" s="72" t="s">
        <v>269</v>
      </c>
    </row>
    <row r="43" spans="1:1" x14ac:dyDescent="0.25">
      <c r="A43" t="s">
        <v>228</v>
      </c>
    </row>
    <row r="44" spans="1:1" ht="14.65" customHeight="1" x14ac:dyDescent="0.25">
      <c r="A44" t="s">
        <v>268</v>
      </c>
    </row>
    <row r="45" spans="1:1" ht="14.65" customHeight="1" x14ac:dyDescent="0.25">
      <c r="A45" t="s">
        <v>267</v>
      </c>
    </row>
    <row r="47" spans="1:1" s="72" customFormat="1" x14ac:dyDescent="0.25">
      <c r="A47" s="72" t="s">
        <v>266</v>
      </c>
    </row>
    <row r="48" spans="1:1" x14ac:dyDescent="0.25">
      <c r="A48" t="s">
        <v>228</v>
      </c>
    </row>
    <row r="49" spans="1:1" ht="14.65" customHeight="1" x14ac:dyDescent="0.25">
      <c r="A49" t="s">
        <v>265</v>
      </c>
    </row>
    <row r="50" spans="1:1" ht="14.65" customHeight="1" x14ac:dyDescent="0.25">
      <c r="A50" t="s">
        <v>264</v>
      </c>
    </row>
    <row r="51" spans="1:1" ht="14.65" customHeight="1" x14ac:dyDescent="0.25">
      <c r="A51" t="s">
        <v>263</v>
      </c>
    </row>
    <row r="54" spans="1:1" s="72" customFormat="1" x14ac:dyDescent="0.25">
      <c r="A54" s="72" t="s">
        <v>262</v>
      </c>
    </row>
    <row r="55" spans="1:1" x14ac:dyDescent="0.25">
      <c r="A55" t="s">
        <v>228</v>
      </c>
    </row>
    <row r="56" spans="1:1" ht="14.65" customHeight="1" x14ac:dyDescent="0.25">
      <c r="A56" t="s">
        <v>261</v>
      </c>
    </row>
    <row r="57" spans="1:1" ht="14.65" customHeight="1" x14ac:dyDescent="0.25">
      <c r="A57" t="s">
        <v>260</v>
      </c>
    </row>
    <row r="60" spans="1:1" s="72" customFormat="1" x14ac:dyDescent="0.25">
      <c r="A60" s="72" t="s">
        <v>259</v>
      </c>
    </row>
    <row r="61" spans="1:1" x14ac:dyDescent="0.25">
      <c r="A61" t="s">
        <v>228</v>
      </c>
    </row>
    <row r="62" spans="1:1" ht="14.65" customHeight="1" x14ac:dyDescent="0.25">
      <c r="A62" t="s">
        <v>258</v>
      </c>
    </row>
    <row r="63" spans="1:1" ht="14.65" customHeight="1" x14ac:dyDescent="0.25">
      <c r="A63" t="s">
        <v>257</v>
      </c>
    </row>
    <row r="65" spans="1:1" s="72" customFormat="1" x14ac:dyDescent="0.25">
      <c r="A65" s="72" t="s">
        <v>256</v>
      </c>
    </row>
    <row r="66" spans="1:1" x14ac:dyDescent="0.25">
      <c r="A66" t="s">
        <v>228</v>
      </c>
    </row>
    <row r="67" spans="1:1" ht="14.65" customHeight="1" x14ac:dyDescent="0.25">
      <c r="A67" t="s">
        <v>255</v>
      </c>
    </row>
    <row r="68" spans="1:1" ht="14.65" customHeight="1" x14ac:dyDescent="0.25">
      <c r="A68" t="s">
        <v>254</v>
      </c>
    </row>
    <row r="70" spans="1:1" s="72" customFormat="1" x14ac:dyDescent="0.25">
      <c r="A70" s="72" t="s">
        <v>250</v>
      </c>
    </row>
    <row r="71" spans="1:1" x14ac:dyDescent="0.25">
      <c r="A71" t="s">
        <v>228</v>
      </c>
    </row>
    <row r="72" spans="1:1" x14ac:dyDescent="0.25">
      <c r="A72" t="s">
        <v>253</v>
      </c>
    </row>
    <row r="73" spans="1:1" x14ac:dyDescent="0.25">
      <c r="A73" t="s">
        <v>252</v>
      </c>
    </row>
    <row r="74" spans="1:1" x14ac:dyDescent="0.25">
      <c r="A74" t="s">
        <v>251</v>
      </c>
    </row>
    <row r="76" spans="1:1" x14ac:dyDescent="0.25">
      <c r="A76" s="72" t="s">
        <v>320</v>
      </c>
    </row>
    <row r="77" spans="1:1" x14ac:dyDescent="0.25">
      <c r="A77" t="s">
        <v>228</v>
      </c>
    </row>
    <row r="78" spans="1:1" x14ac:dyDescent="0.25">
      <c r="A78" t="s">
        <v>340</v>
      </c>
    </row>
    <row r="79" spans="1:1" x14ac:dyDescent="0.25">
      <c r="A79" t="s">
        <v>318</v>
      </c>
    </row>
    <row r="80" spans="1:1" x14ac:dyDescent="0.25">
      <c r="A80" t="s">
        <v>319</v>
      </c>
    </row>
    <row r="83" spans="1:3" x14ac:dyDescent="0.25">
      <c r="A83" s="72" t="s">
        <v>349</v>
      </c>
    </row>
    <row r="84" spans="1:3" x14ac:dyDescent="0.25">
      <c r="A84" t="s">
        <v>1043</v>
      </c>
      <c r="B84" t="s">
        <v>1042</v>
      </c>
      <c r="C84" t="s">
        <v>783</v>
      </c>
    </row>
    <row r="85" spans="1:3" x14ac:dyDescent="0.25">
      <c r="A85" t="str">
        <f>IF(ParamosIšmokėjimoBūdai[[#This Row],[Taikymas]]="Taip",ParamosIšmokėjimoBūdai[[#This Row],[Būdas]],"")</f>
        <v>Kompensavimas</v>
      </c>
      <c r="B85" t="str">
        <f>_xlfn.XLOOKUP(ParamosIšmokėjimoBūdai[[#This Row],[Būdas]],Lentelė5[Naudojami paramos išmokėjimo būdai],Lentelė5[Pasirinkti])</f>
        <v>Taip</v>
      </c>
      <c r="C85" t="s">
        <v>350</v>
      </c>
    </row>
    <row r="86" spans="1:3" x14ac:dyDescent="0.25">
      <c r="A86" t="str">
        <f>IF(ParamosIšmokėjimoBūdai[[#This Row],[Taikymas]]="Taip",ParamosIšmokėjimoBūdai[[#This Row],[Būdas]],"")</f>
        <v>Sąskaitų apmokėjimo būdas</v>
      </c>
      <c r="B86" s="111" t="str">
        <f>_xlfn.XLOOKUP(ParamosIšmokėjimoBūdai[[#This Row],[Būdas]],Lentelė5[Naudojami paramos išmokėjimo būdai],Lentelė5[Pasirinkti])</f>
        <v>Taip</v>
      </c>
      <c r="C86" t="s">
        <v>351</v>
      </c>
    </row>
    <row r="87" spans="1:3" x14ac:dyDescent="0.25">
      <c r="A87" t="str">
        <f>IF(ParamosIšmokėjimoBūdai[[#This Row],[Taikymas]]="Taip",ParamosIšmokėjimoBūdai[[#This Row],[Būdas]],"")</f>
        <v>Kompensavimas su avansu</v>
      </c>
      <c r="B87" t="str">
        <f>_xlfn.XLOOKUP(ParamosIšmokėjimoBūdai[[#This Row],[Būdas]],Lentelė5[Naudojami paramos išmokėjimo būdai],Lentelė5[Pasirinkti])</f>
        <v>Taip</v>
      </c>
      <c r="C87" t="s">
        <v>341</v>
      </c>
    </row>
    <row r="89" spans="1:3" x14ac:dyDescent="0.25">
      <c r="A89" s="72" t="s">
        <v>380</v>
      </c>
    </row>
    <row r="90" spans="1:3" x14ac:dyDescent="0.25">
      <c r="A90" t="s">
        <v>20</v>
      </c>
    </row>
    <row r="91" spans="1:3" x14ac:dyDescent="0.25">
      <c r="A91" s="111" t="s">
        <v>243</v>
      </c>
    </row>
    <row r="92" spans="1:3" x14ac:dyDescent="0.25">
      <c r="A92" t="s">
        <v>381</v>
      </c>
    </row>
    <row r="93" spans="1:3" x14ac:dyDescent="0.25">
      <c r="A93" t="s">
        <v>382</v>
      </c>
    </row>
    <row r="94" spans="1:3" ht="17.25" x14ac:dyDescent="0.25">
      <c r="A94" t="s">
        <v>385</v>
      </c>
    </row>
    <row r="95" spans="1:3" ht="17.25" x14ac:dyDescent="0.25">
      <c r="A95" t="s">
        <v>386</v>
      </c>
    </row>
    <row r="98" spans="1:1" x14ac:dyDescent="0.25">
      <c r="A98" s="72" t="s">
        <v>1024</v>
      </c>
    </row>
    <row r="99" spans="1:1" x14ac:dyDescent="0.25">
      <c r="A99" t="s">
        <v>1025</v>
      </c>
    </row>
    <row r="100" spans="1:1" x14ac:dyDescent="0.25">
      <c r="A100" t="s">
        <v>1026</v>
      </c>
    </row>
    <row r="103" spans="1:1" x14ac:dyDescent="0.25">
      <c r="A103" t="s">
        <v>1039</v>
      </c>
    </row>
    <row r="104" spans="1:1" x14ac:dyDescent="0.25">
      <c r="A104" t="s">
        <v>1038</v>
      </c>
    </row>
    <row r="105" spans="1:1" x14ac:dyDescent="0.25">
      <c r="A105" t="s">
        <v>1040</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E28" sqref="E28"/>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296</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6" t="str">
        <f>IF((COUNTIFS(D2:L2,"&gt;3")+COUNTIFS(D2:L2,"&lt;-3"))&gt;0,"Klaida! Patikrinkite duomenis, turtas iš viso nėra lygus nuosavybei ir įsipareigojimams iš viso","ok")</f>
        <v>ok</v>
      </c>
    </row>
    <row r="3" spans="1:14" x14ac:dyDescent="0.25">
      <c r="B3" s="202" t="s">
        <v>407</v>
      </c>
      <c r="C3" s="405" t="s">
        <v>846</v>
      </c>
      <c r="D3" s="202"/>
      <c r="E3" s="202"/>
      <c r="F3" s="202"/>
      <c r="G3" s="202"/>
      <c r="H3" s="202"/>
      <c r="I3" s="202"/>
      <c r="J3" s="202"/>
      <c r="K3" s="202"/>
      <c r="L3" s="202"/>
      <c r="M3" s="52"/>
      <c r="N3" s="96"/>
    </row>
    <row r="4" spans="1:14" x14ac:dyDescent="0.25">
      <c r="A4" s="323"/>
      <c r="B4" s="323"/>
      <c r="C4" s="324"/>
      <c r="D4" s="406">
        <f>+'9.3'!D64-D49</f>
        <v>0</v>
      </c>
      <c r="E4" s="406">
        <f>+'9.3'!E64-E49</f>
        <v>0</v>
      </c>
      <c r="F4" s="406">
        <f>+'9.3'!F64-F49</f>
        <v>0</v>
      </c>
      <c r="G4" s="406">
        <f>+'9.3'!G64-G49</f>
        <v>0</v>
      </c>
      <c r="H4" s="406">
        <f>+'9.3'!H64-H49</f>
        <v>0</v>
      </c>
      <c r="I4" s="406">
        <f>+'9.3'!I64-I49</f>
        <v>0</v>
      </c>
      <c r="J4" s="406">
        <f>+'9.3'!J64-J49</f>
        <v>0</v>
      </c>
      <c r="K4" s="406">
        <f>+'9.3'!K64-K49</f>
        <v>0</v>
      </c>
      <c r="L4" s="406">
        <f>+'9.3'!L64-L49</f>
        <v>0</v>
      </c>
      <c r="N4" s="96"/>
    </row>
    <row r="5" spans="1:14" ht="24" x14ac:dyDescent="0.25">
      <c r="B5" s="494" t="s">
        <v>22</v>
      </c>
      <c r="C5" s="494" t="s">
        <v>44</v>
      </c>
      <c r="D5" s="193" t="str">
        <f>IF(AND('1'!$C$22="Verslo pradžia",YEAR('1'!$E$22)=YEAR('1'!$C$11)),"Pradžios metai","Ataskaitiniai metai")</f>
        <v>Ataskaitiniai metai</v>
      </c>
      <c r="E5" s="453" t="s">
        <v>12</v>
      </c>
      <c r="F5" s="454"/>
      <c r="G5" s="454"/>
      <c r="H5" s="454"/>
      <c r="I5" s="454"/>
      <c r="J5" s="454"/>
      <c r="K5" s="454"/>
      <c r="L5" s="455"/>
      <c r="N5" s="96"/>
    </row>
    <row r="6" spans="1:14" ht="15.75" thickBot="1" x14ac:dyDescent="0.3">
      <c r="B6" s="495"/>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513</v>
      </c>
      <c r="C7" s="290" t="s">
        <v>163</v>
      </c>
      <c r="D7" s="291"/>
      <c r="E7" s="291"/>
      <c r="F7" s="291"/>
      <c r="G7" s="291"/>
      <c r="H7" s="291"/>
      <c r="I7" s="291"/>
      <c r="J7" s="291"/>
      <c r="K7" s="291"/>
      <c r="L7" s="291"/>
      <c r="N7" s="96"/>
    </row>
    <row r="8" spans="1:14" x14ac:dyDescent="0.25">
      <c r="A8" s="11"/>
      <c r="B8" s="286" t="s">
        <v>538</v>
      </c>
      <c r="C8" s="18" t="s">
        <v>164</v>
      </c>
      <c r="D8" s="287">
        <f>'9.2_nvo'!D27</f>
        <v>0</v>
      </c>
      <c r="E8" s="287">
        <f>'9.2_nvo'!E27</f>
        <v>0</v>
      </c>
      <c r="F8" s="287">
        <f>'9.2_nvo'!F27</f>
        <v>0</v>
      </c>
      <c r="G8" s="287">
        <f>'9.2_nvo'!G27</f>
        <v>0</v>
      </c>
      <c r="H8" s="287">
        <f>'9.2_nvo'!H27</f>
        <v>0</v>
      </c>
      <c r="I8" s="287">
        <f>'9.2_nvo'!I27</f>
        <v>0</v>
      </c>
      <c r="J8" s="287">
        <f>'9.2_nvo'!J27</f>
        <v>0</v>
      </c>
      <c r="K8" s="287">
        <f>'9.2_nvo'!K27</f>
        <v>0</v>
      </c>
      <c r="L8" s="287">
        <f>'9.2_nvo'!L27</f>
        <v>0</v>
      </c>
      <c r="N8" s="96"/>
    </row>
    <row r="9" spans="1:14" x14ac:dyDescent="0.25">
      <c r="A9" s="11"/>
      <c r="B9" s="286" t="s">
        <v>539</v>
      </c>
      <c r="C9" s="18" t="s">
        <v>165</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540</v>
      </c>
      <c r="C10" s="18" t="s">
        <v>166</v>
      </c>
      <c r="D10" s="121"/>
      <c r="E10" s="122">
        <f>-('9.2_nvo'!E15-'9.2_nvo'!E18)</f>
        <v>0</v>
      </c>
      <c r="F10" s="122">
        <f>-('9.2_nvo'!F15-'9.2_nvo'!F18)</f>
        <v>0</v>
      </c>
      <c r="G10" s="122">
        <f>-('9.2_nvo'!G15-'9.2_nvo'!G18)</f>
        <v>0</v>
      </c>
      <c r="H10" s="122">
        <f>-('9.2_nvo'!H15-'9.2_nvo'!H18)</f>
        <v>0</v>
      </c>
      <c r="I10" s="122">
        <f>-('9.2_nvo'!I15-'9.2_nvo'!I18)</f>
        <v>0</v>
      </c>
      <c r="J10" s="122">
        <f>-('9.2_nvo'!J15-'9.2_nvo'!J18)</f>
        <v>0</v>
      </c>
      <c r="K10" s="122">
        <f>-('9.2_nvo'!K15-'9.2_nvo'!K18)</f>
        <v>0</v>
      </c>
      <c r="L10" s="122">
        <f>-('9.2_nvo'!L15-'9.2_nvo'!L18)</f>
        <v>0</v>
      </c>
      <c r="N10" s="172"/>
    </row>
    <row r="11" spans="1:14" ht="24" x14ac:dyDescent="0.25">
      <c r="A11" s="11"/>
      <c r="B11" s="286" t="s">
        <v>541</v>
      </c>
      <c r="C11" s="306" t="s">
        <v>167</v>
      </c>
      <c r="D11" s="380">
        <f>-SUM('9.2_nvo'!D23)</f>
        <v>0</v>
      </c>
      <c r="E11" s="287">
        <f>-SUM('9.2_nvo'!E23)</f>
        <v>0</v>
      </c>
      <c r="F11" s="287">
        <f>-SUM('9.2_nvo'!F23)</f>
        <v>0</v>
      </c>
      <c r="G11" s="287">
        <f>-SUM('9.2_nvo'!G23)</f>
        <v>0</v>
      </c>
      <c r="H11" s="287">
        <f>-SUM('9.2_nvo'!H23)</f>
        <v>0</v>
      </c>
      <c r="I11" s="287">
        <f>-SUM('9.2_nvo'!I23)</f>
        <v>0</v>
      </c>
      <c r="J11" s="287">
        <f>-SUM('9.2_nvo'!J23)</f>
        <v>0</v>
      </c>
      <c r="K11" s="287">
        <f>-SUM('9.2_nvo'!K23)</f>
        <v>0</v>
      </c>
      <c r="L11" s="287">
        <f>-SUM('9.2_nvo'!L23)</f>
        <v>0</v>
      </c>
      <c r="M11" s="55"/>
      <c r="N11" s="172" t="s">
        <v>1034</v>
      </c>
    </row>
    <row r="12" spans="1:14" ht="24" x14ac:dyDescent="0.25">
      <c r="A12" s="11"/>
      <c r="B12" s="286" t="s">
        <v>543</v>
      </c>
      <c r="C12" s="306" t="s">
        <v>594</v>
      </c>
      <c r="D12" s="121"/>
      <c r="E12" s="287">
        <f>-('9.1_nvo'!E19-'9.1_nvo'!D19)</f>
        <v>0</v>
      </c>
      <c r="F12" s="287">
        <f>-('9.1_nvo'!F19-'9.1_nvo'!E19)</f>
        <v>0</v>
      </c>
      <c r="G12" s="287">
        <f>-('9.1_nvo'!G19-'9.1_nvo'!F19)</f>
        <v>0</v>
      </c>
      <c r="H12" s="287">
        <f>-('9.1_nvo'!H19-'9.1_nvo'!G19)</f>
        <v>0</v>
      </c>
      <c r="I12" s="287">
        <f>-('9.1_nvo'!I19-'9.1_nvo'!H19)</f>
        <v>0</v>
      </c>
      <c r="J12" s="287">
        <f>-('9.1_nvo'!J19-'9.1_nvo'!I19)</f>
        <v>0</v>
      </c>
      <c r="K12" s="287">
        <f>-('9.1_nvo'!K19-'9.1_nvo'!J19)</f>
        <v>0</v>
      </c>
      <c r="L12" s="287">
        <f>-('9.1_nvo'!L19-'9.1_nvo'!K19)</f>
        <v>0</v>
      </c>
      <c r="M12" s="55"/>
      <c r="N12" s="96"/>
    </row>
    <row r="13" spans="1:14" ht="24" x14ac:dyDescent="0.25">
      <c r="A13" s="11"/>
      <c r="B13" s="286" t="s">
        <v>544</v>
      </c>
      <c r="C13" s="18" t="s">
        <v>171</v>
      </c>
      <c r="D13" s="121"/>
      <c r="E13" s="287">
        <f>-(('9.1_nvo'!E21-'9.1_nvo'!E23) - ('9.1_nvo'!D21-'9.1_nvo'!D23))</f>
        <v>0</v>
      </c>
      <c r="F13" s="287">
        <f>-(('9.1_nvo'!F21-'9.1_nvo'!F23) - ('9.1_nvo'!E21-'9.1_nvo'!E23))</f>
        <v>0</v>
      </c>
      <c r="G13" s="287">
        <f>-(('9.1_nvo'!G21-'9.1_nvo'!G23) - ('9.1_nvo'!F21-'9.1_nvo'!F23))</f>
        <v>0</v>
      </c>
      <c r="H13" s="287">
        <f>-(('9.1_nvo'!H21-'9.1_nvo'!H23) - ('9.1_nvo'!G21-'9.1_nvo'!G23))</f>
        <v>0</v>
      </c>
      <c r="I13" s="287">
        <f>-(('9.1_nvo'!I21-'9.1_nvo'!I23) - ('9.1_nvo'!H21-'9.1_nvo'!H23))</f>
        <v>0</v>
      </c>
      <c r="J13" s="287">
        <f>-(('9.1_nvo'!J21-'9.1_nvo'!J23) - ('9.1_nvo'!I21-'9.1_nvo'!I23))</f>
        <v>0</v>
      </c>
      <c r="K13" s="287">
        <f>-(('9.1_nvo'!K21-'9.1_nvo'!K23) - ('9.1_nvo'!J21-'9.1_nvo'!J23))</f>
        <v>0</v>
      </c>
      <c r="L13" s="287">
        <f>-(('9.1_nvo'!L21-'9.1_nvo'!L23) - ('9.1_nvo'!K21-'9.1_nvo'!K23))</f>
        <v>0</v>
      </c>
      <c r="N13" s="96"/>
    </row>
    <row r="14" spans="1:14" x14ac:dyDescent="0.25">
      <c r="A14" s="11"/>
      <c r="B14" s="286" t="s">
        <v>545</v>
      </c>
      <c r="C14" s="18" t="s">
        <v>172</v>
      </c>
      <c r="D14" s="121"/>
      <c r="E14" s="287">
        <f>-('9.1_nvo'!E23-'9.1_nvo'!D23)</f>
        <v>0</v>
      </c>
      <c r="F14" s="287">
        <f>-('9.1_nvo'!F23-'9.1_nvo'!E23)</f>
        <v>0</v>
      </c>
      <c r="G14" s="287">
        <f>-('9.1_nvo'!G23-'9.1_nvo'!F23)</f>
        <v>0</v>
      </c>
      <c r="H14" s="287">
        <f>-('9.1_nvo'!H23-'9.1_nvo'!G23)</f>
        <v>0</v>
      </c>
      <c r="I14" s="287">
        <f>-('9.1_nvo'!I23-'9.1_nvo'!H23)</f>
        <v>0</v>
      </c>
      <c r="J14" s="287">
        <f>-('9.1_nvo'!J23-'9.1_nvo'!I23)</f>
        <v>0</v>
      </c>
      <c r="K14" s="287">
        <f>-('9.1_nvo'!K23-'9.1_nvo'!J23)</f>
        <v>0</v>
      </c>
      <c r="L14" s="287">
        <f>-('9.1_nvo'!L23-'9.1_nvo'!K23)</f>
        <v>0</v>
      </c>
      <c r="N14" s="96"/>
    </row>
    <row r="15" spans="1:14" x14ac:dyDescent="0.25">
      <c r="A15" s="11"/>
      <c r="B15" s="286" t="s">
        <v>546</v>
      </c>
      <c r="C15" s="18" t="s">
        <v>173</v>
      </c>
      <c r="D15" s="121"/>
      <c r="E15" s="287">
        <f>-('9.1_nvo'!E26-'9.1_nvo'!D26)</f>
        <v>0</v>
      </c>
      <c r="F15" s="287">
        <f>-('9.1_nvo'!F26-'9.1_nvo'!E26)</f>
        <v>0</v>
      </c>
      <c r="G15" s="287">
        <f>-('9.1_nvo'!G26-'9.1_nvo'!F26)</f>
        <v>0</v>
      </c>
      <c r="H15" s="287">
        <f>-('9.1_nvo'!H26-'9.1_nvo'!G26)</f>
        <v>0</v>
      </c>
      <c r="I15" s="287">
        <f>-('9.1_nvo'!I26-'9.1_nvo'!H26)</f>
        <v>0</v>
      </c>
      <c r="J15" s="287">
        <f>-('9.1_nvo'!J26-'9.1_nvo'!I26)</f>
        <v>0</v>
      </c>
      <c r="K15" s="287">
        <f>-('9.1_nvo'!K26-'9.1_nvo'!J26)</f>
        <v>0</v>
      </c>
      <c r="L15" s="287">
        <f>-('9.1_nvo'!L26-'9.1_nvo'!K26)</f>
        <v>0</v>
      </c>
      <c r="N15" s="96"/>
    </row>
    <row r="16" spans="1:14" x14ac:dyDescent="0.25">
      <c r="A16" s="11"/>
      <c r="B16" s="286" t="s">
        <v>547</v>
      </c>
      <c r="C16" s="18" t="s">
        <v>174</v>
      </c>
      <c r="D16" s="121"/>
      <c r="E16" s="287">
        <f>-('9.1_nvo'!E27-'9.1_nvo'!D27)</f>
        <v>0</v>
      </c>
      <c r="F16" s="287">
        <f>-('9.1_nvo'!F27-'9.1_nvo'!E27)</f>
        <v>0</v>
      </c>
      <c r="G16" s="287">
        <f>-('9.1_nvo'!G27-'9.1_nvo'!F27)</f>
        <v>0</v>
      </c>
      <c r="H16" s="287">
        <f>-('9.1_nvo'!H27-'9.1_nvo'!G27)</f>
        <v>0</v>
      </c>
      <c r="I16" s="287">
        <f>-('9.1_nvo'!I27-'9.1_nvo'!H27)</f>
        <v>0</v>
      </c>
      <c r="J16" s="287">
        <f>-('9.1_nvo'!J27-'9.1_nvo'!I27)</f>
        <v>0</v>
      </c>
      <c r="K16" s="287">
        <f>-('9.1_nvo'!K27-'9.1_nvo'!J27)</f>
        <v>0</v>
      </c>
      <c r="L16" s="287">
        <f>-('9.1_nvo'!L27-'9.1_nvo'!K27)</f>
        <v>0</v>
      </c>
      <c r="N16" s="96"/>
    </row>
    <row r="17" spans="1:14" ht="24" x14ac:dyDescent="0.25">
      <c r="A17" s="11"/>
      <c r="B17" s="286" t="s">
        <v>548</v>
      </c>
      <c r="C17" s="18" t="s">
        <v>175</v>
      </c>
      <c r="D17" s="121"/>
      <c r="E17" s="287">
        <f>-('9.1_nvo'!E28-'9.1_nvo'!D28)</f>
        <v>0</v>
      </c>
      <c r="F17" s="287">
        <f>-('9.1_nvo'!F28-'9.1_nvo'!E28)</f>
        <v>0</v>
      </c>
      <c r="G17" s="287">
        <f>-('9.1_nvo'!G28-'9.1_nvo'!F28)</f>
        <v>0</v>
      </c>
      <c r="H17" s="287">
        <f>-('9.1_nvo'!H28-'9.1_nvo'!G28)</f>
        <v>0</v>
      </c>
      <c r="I17" s="287">
        <f>-('9.1_nvo'!I28-'9.1_nvo'!H28)</f>
        <v>0</v>
      </c>
      <c r="J17" s="287">
        <f>-('9.1_nvo'!J28-'9.1_nvo'!I28)</f>
        <v>0</v>
      </c>
      <c r="K17" s="287">
        <f>-('9.1_nvo'!K28-'9.1_nvo'!J28)</f>
        <v>0</v>
      </c>
      <c r="L17" s="287">
        <f>-('9.1_nvo'!L28-'9.1_nvo'!K28)</f>
        <v>0</v>
      </c>
      <c r="N17" s="96"/>
    </row>
    <row r="18" spans="1:14" ht="24" x14ac:dyDescent="0.25">
      <c r="A18" s="11"/>
      <c r="B18" s="286" t="s">
        <v>614</v>
      </c>
      <c r="C18" s="18" t="s">
        <v>176</v>
      </c>
      <c r="D18" s="121"/>
      <c r="E18" s="287">
        <f>-('9.1_nvo'!E30-'9.1_nvo'!D30)</f>
        <v>0</v>
      </c>
      <c r="F18" s="287">
        <f>-('9.1_nvo'!F30-'9.1_nvo'!E30)</f>
        <v>0</v>
      </c>
      <c r="G18" s="287">
        <f>-('9.1_nvo'!G30-'9.1_nvo'!F30)</f>
        <v>0</v>
      </c>
      <c r="H18" s="287">
        <f>-('9.1_nvo'!H30-'9.1_nvo'!G30)</f>
        <v>0</v>
      </c>
      <c r="I18" s="287">
        <f>-('9.1_nvo'!I30-'9.1_nvo'!H30)</f>
        <v>0</v>
      </c>
      <c r="J18" s="287">
        <f>-('9.1_nvo'!J30-'9.1_nvo'!I30)</f>
        <v>0</v>
      </c>
      <c r="K18" s="287">
        <f>-('9.1_nvo'!K30-'9.1_nvo'!J30)</f>
        <v>0</v>
      </c>
      <c r="L18" s="287">
        <f>-('9.1_nvo'!L30-'9.1_nvo'!K30)</f>
        <v>0</v>
      </c>
      <c r="N18" s="96"/>
    </row>
    <row r="19" spans="1:14" ht="24" x14ac:dyDescent="0.25">
      <c r="A19" s="11"/>
      <c r="B19" s="286" t="s">
        <v>549</v>
      </c>
      <c r="C19" s="18" t="s">
        <v>179</v>
      </c>
      <c r="D19" s="121"/>
      <c r="E19" s="287">
        <f>('9.1_nvo'!E57 + '9.1_nvo'!E56)-('9.1_nvo'!D57 + '9.1_nvo'!D56)</f>
        <v>0</v>
      </c>
      <c r="F19" s="287">
        <f>('9.1_nvo'!F57 + '9.1_nvo'!F56)-('9.1_nvo'!E57 + '9.1_nvo'!E56)</f>
        <v>0</v>
      </c>
      <c r="G19" s="287">
        <f>('9.1_nvo'!G57 + '9.1_nvo'!G56)-('9.1_nvo'!F57 + '9.1_nvo'!F56)</f>
        <v>0</v>
      </c>
      <c r="H19" s="287">
        <f>('9.1_nvo'!H57 + '9.1_nvo'!H56)-('9.1_nvo'!G57 + '9.1_nvo'!G56)</f>
        <v>0</v>
      </c>
      <c r="I19" s="287">
        <f>('9.1_nvo'!I57 + '9.1_nvo'!I56)-('9.1_nvo'!H57 + '9.1_nvo'!H56)</f>
        <v>0</v>
      </c>
      <c r="J19" s="287">
        <f>('9.1_nvo'!J57 + '9.1_nvo'!J56)-('9.1_nvo'!I57 + '9.1_nvo'!I56)</f>
        <v>0</v>
      </c>
      <c r="K19" s="287">
        <f>('9.1_nvo'!K57 + '9.1_nvo'!K56)-('9.1_nvo'!J57 + '9.1_nvo'!J56)</f>
        <v>0</v>
      </c>
      <c r="L19" s="287">
        <f>('9.1_nvo'!L57 + '9.1_nvo'!L56)-('9.1_nvo'!K57 + '9.1_nvo'!K56)</f>
        <v>0</v>
      </c>
      <c r="N19" s="96"/>
    </row>
    <row r="20" spans="1:14" ht="24" x14ac:dyDescent="0.25">
      <c r="A20" s="11"/>
      <c r="B20" s="286" t="s">
        <v>550</v>
      </c>
      <c r="C20" s="18" t="s">
        <v>181</v>
      </c>
      <c r="D20" s="121"/>
      <c r="E20" s="287">
        <f>'9.1_nvo'!E58-'9.1_nvo'!D58</f>
        <v>0</v>
      </c>
      <c r="F20" s="287">
        <f>'9.1_nvo'!F58-'9.1_nvo'!E58</f>
        <v>0</v>
      </c>
      <c r="G20" s="287">
        <f>'9.1_nvo'!G58-'9.1_nvo'!F58</f>
        <v>0</v>
      </c>
      <c r="H20" s="287">
        <f>'9.1_nvo'!H58-'9.1_nvo'!G58</f>
        <v>0</v>
      </c>
      <c r="I20" s="287">
        <f>'9.1_nvo'!I58-'9.1_nvo'!H58</f>
        <v>0</v>
      </c>
      <c r="J20" s="287">
        <f>'9.1_nvo'!J58-'9.1_nvo'!I58</f>
        <v>0</v>
      </c>
      <c r="K20" s="287">
        <f>'9.1_nvo'!K58-'9.1_nvo'!J58</f>
        <v>0</v>
      </c>
      <c r="L20" s="287">
        <f>'9.1_nvo'!L58-'9.1_nvo'!K58</f>
        <v>0</v>
      </c>
      <c r="N20" s="96"/>
    </row>
    <row r="21" spans="1:14" ht="24" x14ac:dyDescent="0.25">
      <c r="A21" s="11"/>
      <c r="B21" s="286" t="s">
        <v>551</v>
      </c>
      <c r="C21" s="306" t="s">
        <v>182</v>
      </c>
      <c r="D21" s="121"/>
      <c r="E21" s="287">
        <f>('9.1_nvo'!E52+'9.1_nvo'!E59) - ('9.1_nvo'!D52+'9.1_nvo'!D59)</f>
        <v>0</v>
      </c>
      <c r="F21" s="287">
        <f>('9.1_nvo'!F52+'9.1_nvo'!F59) - ('9.1_nvo'!E52+'9.1_nvo'!E59)</f>
        <v>0</v>
      </c>
      <c r="G21" s="287">
        <f>('9.1_nvo'!G52+'9.1_nvo'!G59) - ('9.1_nvo'!F52+'9.1_nvo'!F59)</f>
        <v>0</v>
      </c>
      <c r="H21" s="287">
        <f>('9.1_nvo'!H52+'9.1_nvo'!H59) - ('9.1_nvo'!G52+'9.1_nvo'!G59)</f>
        <v>0</v>
      </c>
      <c r="I21" s="287">
        <f>('9.1_nvo'!I52+'9.1_nvo'!I59) - ('9.1_nvo'!H52+'9.1_nvo'!H59)</f>
        <v>0</v>
      </c>
      <c r="J21" s="287">
        <f>('9.1_nvo'!J52+'9.1_nvo'!J59) - ('9.1_nvo'!I52+'9.1_nvo'!I59)</f>
        <v>0</v>
      </c>
      <c r="K21" s="287">
        <f>('9.1_nvo'!K52+'9.1_nvo'!K59) - ('9.1_nvo'!J52+'9.1_nvo'!J59)</f>
        <v>0</v>
      </c>
      <c r="L21" s="287">
        <f>('9.1_nvo'!L52+'9.1_nvo'!L59) - ('9.1_nvo'!K52+'9.1_nvo'!K59)</f>
        <v>0</v>
      </c>
      <c r="N21" s="96"/>
    </row>
    <row r="22" spans="1:14" ht="24" x14ac:dyDescent="0.25">
      <c r="A22" s="11"/>
      <c r="B22" s="286" t="s">
        <v>552</v>
      </c>
      <c r="C22" s="18" t="s">
        <v>183</v>
      </c>
      <c r="D22" s="121"/>
      <c r="E22" s="287">
        <f>'9.1_nvo'!E60-'9.1_nvo'!D60</f>
        <v>0</v>
      </c>
      <c r="F22" s="287">
        <f>'9.1_nvo'!F60-'9.1_nvo'!E60</f>
        <v>0</v>
      </c>
      <c r="G22" s="287">
        <f>'9.1_nvo'!G60-'9.1_nvo'!F60</f>
        <v>0</v>
      </c>
      <c r="H22" s="287">
        <f>'9.1_nvo'!H60-'9.1_nvo'!G60</f>
        <v>0</v>
      </c>
      <c r="I22" s="287">
        <f>'9.1_nvo'!I60-'9.1_nvo'!H60</f>
        <v>0</v>
      </c>
      <c r="J22" s="287">
        <f>'9.1_nvo'!J60-'9.1_nvo'!I60</f>
        <v>0</v>
      </c>
      <c r="K22" s="287">
        <f>'9.1_nvo'!K60-'9.1_nvo'!J60</f>
        <v>0</v>
      </c>
      <c r="L22" s="287">
        <f>'9.1_nvo'!L60-'9.1_nvo'!K60</f>
        <v>0</v>
      </c>
      <c r="N22" s="96"/>
    </row>
    <row r="23" spans="1:14" ht="24" x14ac:dyDescent="0.25">
      <c r="A23" s="11"/>
      <c r="B23" s="288" t="s">
        <v>553</v>
      </c>
      <c r="C23" s="196" t="s">
        <v>184</v>
      </c>
      <c r="D23" s="294">
        <f t="shared" ref="D23:L23" si="0">SUM(D8:D22)</f>
        <v>0</v>
      </c>
      <c r="E23" s="294">
        <f t="shared" si="0"/>
        <v>0</v>
      </c>
      <c r="F23" s="294">
        <f t="shared" si="0"/>
        <v>0</v>
      </c>
      <c r="G23" s="294">
        <f t="shared" si="0"/>
        <v>0</v>
      </c>
      <c r="H23" s="294">
        <f t="shared" si="0"/>
        <v>0</v>
      </c>
      <c r="I23" s="294">
        <f t="shared" si="0"/>
        <v>0</v>
      </c>
      <c r="J23" s="294">
        <f t="shared" si="0"/>
        <v>0</v>
      </c>
      <c r="K23" s="294">
        <f t="shared" si="0"/>
        <v>0</v>
      </c>
      <c r="L23" s="294">
        <f t="shared" si="0"/>
        <v>0</v>
      </c>
      <c r="N23" s="96"/>
    </row>
    <row r="24" spans="1:14" x14ac:dyDescent="0.25">
      <c r="A24" s="11"/>
      <c r="B24" s="288" t="s">
        <v>514</v>
      </c>
      <c r="C24" s="196" t="s">
        <v>185</v>
      </c>
      <c r="D24" s="254"/>
      <c r="E24" s="254"/>
      <c r="F24" s="254"/>
      <c r="G24" s="254"/>
      <c r="H24" s="254"/>
      <c r="I24" s="254"/>
      <c r="J24" s="254"/>
      <c r="K24" s="254"/>
      <c r="L24" s="254"/>
      <c r="N24" s="96"/>
    </row>
    <row r="25" spans="1:14" ht="24" x14ac:dyDescent="0.25">
      <c r="A25" s="11"/>
      <c r="B25" s="286" t="s">
        <v>556</v>
      </c>
      <c r="C25" s="18" t="s">
        <v>895</v>
      </c>
      <c r="D25" s="287">
        <f>-'6'!D62</f>
        <v>0</v>
      </c>
      <c r="E25" s="287">
        <f>-'6'!E62</f>
        <v>0</v>
      </c>
      <c r="F25" s="287">
        <f>-'6'!F62</f>
        <v>0</v>
      </c>
      <c r="G25" s="287">
        <f>-'6'!G62</f>
        <v>0</v>
      </c>
      <c r="H25" s="287">
        <f>-'6'!H62</f>
        <v>0</v>
      </c>
      <c r="I25" s="287">
        <f>-'6'!I62</f>
        <v>0</v>
      </c>
      <c r="J25" s="287">
        <f>-'6'!J62</f>
        <v>0</v>
      </c>
      <c r="K25" s="287">
        <f>-'6'!K62</f>
        <v>0</v>
      </c>
      <c r="L25" s="287">
        <f>-'6'!L62</f>
        <v>0</v>
      </c>
      <c r="N25" s="96"/>
    </row>
    <row r="26" spans="1:14" ht="24" x14ac:dyDescent="0.25">
      <c r="A26" s="11"/>
      <c r="B26" s="286" t="s">
        <v>557</v>
      </c>
      <c r="C26" s="18" t="s">
        <v>896</v>
      </c>
      <c r="D26" s="121"/>
      <c r="E26" s="287"/>
      <c r="F26" s="287"/>
      <c r="G26" s="287"/>
      <c r="H26" s="287"/>
      <c r="I26" s="287"/>
      <c r="J26" s="287"/>
      <c r="K26" s="287"/>
      <c r="L26" s="287"/>
      <c r="N26" s="172" t="s">
        <v>999</v>
      </c>
    </row>
    <row r="27" spans="1:14" x14ac:dyDescent="0.25">
      <c r="A27" s="11"/>
      <c r="B27" s="286" t="s">
        <v>558</v>
      </c>
      <c r="C27" s="18" t="s">
        <v>897</v>
      </c>
      <c r="D27" s="124"/>
      <c r="E27" s="124"/>
      <c r="F27" s="124"/>
      <c r="G27" s="124"/>
      <c r="H27" s="124"/>
      <c r="I27" s="124"/>
      <c r="J27" s="124"/>
      <c r="K27" s="124"/>
      <c r="L27" s="124"/>
      <c r="N27" s="172" t="s">
        <v>1035</v>
      </c>
    </row>
    <row r="28" spans="1:14" x14ac:dyDescent="0.25">
      <c r="A28" s="11"/>
      <c r="B28" s="286" t="s">
        <v>559</v>
      </c>
      <c r="C28" s="18" t="s">
        <v>899</v>
      </c>
      <c r="D28" s="121"/>
      <c r="E28" s="121"/>
      <c r="F28" s="121"/>
      <c r="G28" s="121"/>
      <c r="H28" s="121"/>
      <c r="I28" s="121"/>
      <c r="J28" s="121"/>
      <c r="K28" s="121"/>
      <c r="L28" s="121"/>
      <c r="N28" s="172" t="s">
        <v>1036</v>
      </c>
    </row>
    <row r="29" spans="1:14" x14ac:dyDescent="0.25">
      <c r="A29" s="11"/>
      <c r="B29" s="286" t="s">
        <v>560</v>
      </c>
      <c r="C29" s="18" t="s">
        <v>192</v>
      </c>
      <c r="D29" s="121"/>
      <c r="E29" s="287"/>
      <c r="F29" s="287"/>
      <c r="G29" s="287"/>
      <c r="H29" s="287"/>
      <c r="I29" s="287"/>
      <c r="J29" s="287"/>
      <c r="K29" s="287"/>
      <c r="L29" s="287"/>
      <c r="N29" s="172" t="s">
        <v>591</v>
      </c>
    </row>
    <row r="30" spans="1:14" ht="24" x14ac:dyDescent="0.25">
      <c r="A30" s="11"/>
      <c r="B30" s="286" t="s">
        <v>561</v>
      </c>
      <c r="C30" s="18" t="s">
        <v>193</v>
      </c>
      <c r="D30" s="380">
        <f>IF('9.2_nvo'!D15-'9.2_nvo'!D18&gt;0,'9.2_nvo'!D15-'9.2_nvo'!D18,0)</f>
        <v>0</v>
      </c>
      <c r="E30" s="287">
        <f>IF('9.2_nvo'!E15-'9.2_nvo'!E18&gt;0,'9.2_nvo'!E15-'9.2_nvo'!E18,0)</f>
        <v>0</v>
      </c>
      <c r="F30" s="287">
        <f>IF('9.2_nvo'!F15-'9.2_nvo'!F18&gt;0,'9.2_nvo'!F15-'9.2_nvo'!F18,0)</f>
        <v>0</v>
      </c>
      <c r="G30" s="287">
        <f>IF('9.2_nvo'!G15-'9.2_nvo'!G18&gt;0,'9.2_nvo'!G15-'9.2_nvo'!G18,0)</f>
        <v>0</v>
      </c>
      <c r="H30" s="287">
        <f>IF('9.2_nvo'!H15-'9.2_nvo'!H18&gt;0,'9.2_nvo'!H15-'9.2_nvo'!H18,0)</f>
        <v>0</v>
      </c>
      <c r="I30" s="287">
        <f>IF('9.2_nvo'!I15-'9.2_nvo'!I18&gt;0,'9.2_nvo'!I15-'9.2_nvo'!I18,0)</f>
        <v>0</v>
      </c>
      <c r="J30" s="287">
        <f>IF('9.2_nvo'!J15-'9.2_nvo'!J18&gt;0,'9.2_nvo'!J15-'9.2_nvo'!J18,0)</f>
        <v>0</v>
      </c>
      <c r="K30" s="287">
        <f>IF('9.2_nvo'!K15-'9.2_nvo'!K18&gt;0,'9.2_nvo'!K15-'9.2_nvo'!K18,0)</f>
        <v>0</v>
      </c>
      <c r="L30" s="287">
        <f>IF('9.2_nvo'!L15-'9.2_nvo'!L18&gt;0,'9.2_nvo'!L15-'9.2_nvo'!L18,0)</f>
        <v>0</v>
      </c>
      <c r="N30" s="172" t="s">
        <v>588</v>
      </c>
    </row>
    <row r="31" spans="1:14" ht="24" x14ac:dyDescent="0.25">
      <c r="A31" s="11"/>
      <c r="B31" s="286" t="s">
        <v>562</v>
      </c>
      <c r="C31" s="18" t="s">
        <v>194</v>
      </c>
      <c r="D31" s="380">
        <f>IF('9.2_nvo'!D15-'9.2_nvo'!D18&lt;0,'9.2_nvo'!D15-'9.2_nvo'!D18,0)</f>
        <v>0</v>
      </c>
      <c r="E31" s="287">
        <f>IF('9.2_nvo'!E15-'9.2_nvo'!E18&lt;0,'9.2_nvo'!E15-'9.2_nvo'!E18,0)</f>
        <v>0</v>
      </c>
      <c r="F31" s="287">
        <f>IF('9.2_nvo'!F15-'9.2_nvo'!F18&lt;0,'9.2_nvo'!F15-'9.2_nvo'!F18,0)</f>
        <v>0</v>
      </c>
      <c r="G31" s="287">
        <f>IF('9.2_nvo'!G15-'9.2_nvo'!G18&lt;0,'9.2_nvo'!G15-'9.2_nvo'!G18,0)</f>
        <v>0</v>
      </c>
      <c r="H31" s="287">
        <f>IF('9.2_nvo'!H15-'9.2_nvo'!H18&lt;0,'9.2_nvo'!H15-'9.2_nvo'!H18,0)</f>
        <v>0</v>
      </c>
      <c r="I31" s="287">
        <f>IF('9.2_nvo'!I15-'9.2_nvo'!I18&lt;0,'9.2_nvo'!I15-'9.2_nvo'!I18,0)</f>
        <v>0</v>
      </c>
      <c r="J31" s="287">
        <f>IF('9.2_nvo'!J15-'9.2_nvo'!J18&lt;0,'9.2_nvo'!J15-'9.2_nvo'!J18,0)</f>
        <v>0</v>
      </c>
      <c r="K31" s="287">
        <f>IF('9.2_nvo'!K15-'9.2_nvo'!K18&lt;0,'9.2_nvo'!K15-'9.2_nvo'!K18,0)</f>
        <v>0</v>
      </c>
      <c r="L31" s="287">
        <f>IF('9.2_nvo'!L15-'9.2_nvo'!L18&lt;0,'9.2_nvo'!L15-'9.2_nvo'!L18,0)</f>
        <v>0</v>
      </c>
      <c r="N31" s="172" t="s">
        <v>589</v>
      </c>
    </row>
    <row r="32" spans="1:14" ht="24" x14ac:dyDescent="0.25">
      <c r="A32" s="11"/>
      <c r="B32" s="288" t="s">
        <v>563</v>
      </c>
      <c r="C32" s="196" t="s">
        <v>195</v>
      </c>
      <c r="D32" s="295">
        <f>SUM(D25:D31)</f>
        <v>0</v>
      </c>
      <c r="E32" s="295">
        <f t="shared" ref="E32:L32" si="1">SUM(E25:E31)</f>
        <v>0</v>
      </c>
      <c r="F32" s="295">
        <f t="shared" si="1"/>
        <v>0</v>
      </c>
      <c r="G32" s="295">
        <f t="shared" si="1"/>
        <v>0</v>
      </c>
      <c r="H32" s="295">
        <f t="shared" si="1"/>
        <v>0</v>
      </c>
      <c r="I32" s="295">
        <f t="shared" si="1"/>
        <v>0</v>
      </c>
      <c r="J32" s="295">
        <f t="shared" si="1"/>
        <v>0</v>
      </c>
      <c r="K32" s="295">
        <f t="shared" si="1"/>
        <v>0</v>
      </c>
      <c r="L32" s="295">
        <f t="shared" si="1"/>
        <v>0</v>
      </c>
      <c r="N32" s="96"/>
    </row>
    <row r="33" spans="1:14" x14ac:dyDescent="0.25">
      <c r="A33" s="11"/>
      <c r="B33" s="288" t="s">
        <v>515</v>
      </c>
      <c r="C33" s="196" t="s">
        <v>196</v>
      </c>
      <c r="D33" s="254"/>
      <c r="E33" s="254"/>
      <c r="F33" s="254"/>
      <c r="G33" s="254"/>
      <c r="H33" s="254"/>
      <c r="I33" s="254"/>
      <c r="J33" s="254"/>
      <c r="K33" s="254"/>
      <c r="L33" s="254"/>
      <c r="N33" s="96"/>
    </row>
    <row r="34" spans="1:14" x14ac:dyDescent="0.25">
      <c r="A34" s="11"/>
      <c r="B34" s="286" t="s">
        <v>533</v>
      </c>
      <c r="C34" s="306" t="s">
        <v>907</v>
      </c>
      <c r="D34" s="287">
        <f>'8'!D19+'8'!D20</f>
        <v>0</v>
      </c>
      <c r="E34" s="287">
        <f>'8'!E19+'8'!E20</f>
        <v>0</v>
      </c>
      <c r="F34" s="287">
        <f>'8'!F19+'8'!F20</f>
        <v>0</v>
      </c>
      <c r="G34" s="287">
        <f>'8'!G19+'8'!G20</f>
        <v>0</v>
      </c>
      <c r="H34" s="287">
        <f>'8'!H19+'8'!H20</f>
        <v>0</v>
      </c>
      <c r="I34" s="287">
        <f>'8'!I19+'8'!I20</f>
        <v>0</v>
      </c>
      <c r="J34" s="287">
        <f>'8'!J19+'8'!J20</f>
        <v>0</v>
      </c>
      <c r="K34" s="287">
        <f>'8'!K19+'8'!K20</f>
        <v>0</v>
      </c>
      <c r="L34" s="287">
        <f>'8'!L19+'8'!L20</f>
        <v>0</v>
      </c>
      <c r="N34" s="96"/>
    </row>
    <row r="35" spans="1:14" x14ac:dyDescent="0.25">
      <c r="A35" s="11"/>
      <c r="B35" s="286" t="s">
        <v>522</v>
      </c>
      <c r="C35" s="306" t="s">
        <v>908</v>
      </c>
      <c r="D35" s="287">
        <f>-('8'!D21+'8'!D22)</f>
        <v>0</v>
      </c>
      <c r="E35" s="287">
        <f>-('8'!E21+'8'!E22)</f>
        <v>0</v>
      </c>
      <c r="F35" s="287">
        <f>-('8'!F21+'8'!F22)</f>
        <v>0</v>
      </c>
      <c r="G35" s="287">
        <f>-('8'!G21+'8'!G22)</f>
        <v>0</v>
      </c>
      <c r="H35" s="287">
        <f>-('8'!H21+'8'!H22)</f>
        <v>0</v>
      </c>
      <c r="I35" s="287">
        <f>-('8'!I21+'8'!I22)</f>
        <v>0</v>
      </c>
      <c r="J35" s="287">
        <f>-('8'!J21+'8'!J22)</f>
        <v>0</v>
      </c>
      <c r="K35" s="287">
        <f>-('8'!K21+'8'!K22)</f>
        <v>0</v>
      </c>
      <c r="L35" s="287">
        <f>-('8'!L21+'8'!L22)</f>
        <v>0</v>
      </c>
      <c r="N35" s="96"/>
    </row>
    <row r="36" spans="1:14" x14ac:dyDescent="0.25">
      <c r="A36" s="11"/>
      <c r="B36" s="286" t="s">
        <v>920</v>
      </c>
      <c r="C36" s="306" t="s">
        <v>919</v>
      </c>
      <c r="D36" s="287">
        <f>'8'!D31</f>
        <v>0</v>
      </c>
      <c r="E36" s="287">
        <f>'8'!E31</f>
        <v>0</v>
      </c>
      <c r="F36" s="287">
        <f>'8'!F31</f>
        <v>0</v>
      </c>
      <c r="G36" s="287">
        <f>'8'!G31</f>
        <v>0</v>
      </c>
      <c r="H36" s="287">
        <f>'8'!H31</f>
        <v>0</v>
      </c>
      <c r="I36" s="287">
        <f>'8'!I31</f>
        <v>0</v>
      </c>
      <c r="J36" s="287">
        <f>'8'!J31</f>
        <v>0</v>
      </c>
      <c r="K36" s="287">
        <f>'8'!K31</f>
        <v>0</v>
      </c>
      <c r="L36" s="287">
        <f>'8'!L31</f>
        <v>0</v>
      </c>
      <c r="N36" s="96"/>
    </row>
    <row r="37" spans="1:14" ht="24" x14ac:dyDescent="0.25">
      <c r="A37" s="11"/>
      <c r="B37" s="286" t="s">
        <v>921</v>
      </c>
      <c r="C37" s="306" t="s">
        <v>909</v>
      </c>
      <c r="D37" s="287">
        <f>-'8'!D32</f>
        <v>0</v>
      </c>
      <c r="E37" s="287">
        <f>-'8'!E32</f>
        <v>0</v>
      </c>
      <c r="F37" s="287">
        <f>-'8'!F32</f>
        <v>0</v>
      </c>
      <c r="G37" s="287">
        <f>-'8'!G32</f>
        <v>0</v>
      </c>
      <c r="H37" s="287">
        <f>-'8'!H32</f>
        <v>0</v>
      </c>
      <c r="I37" s="287">
        <f>-'8'!I32</f>
        <v>0</v>
      </c>
      <c r="J37" s="287">
        <f>-'8'!J32</f>
        <v>0</v>
      </c>
      <c r="K37" s="287">
        <f>-'8'!K32</f>
        <v>0</v>
      </c>
      <c r="L37" s="287">
        <f>-'8'!L32</f>
        <v>0</v>
      </c>
      <c r="N37" s="96"/>
    </row>
    <row r="38" spans="1:14" x14ac:dyDescent="0.25">
      <c r="A38" s="11"/>
      <c r="B38" s="286" t="s">
        <v>922</v>
      </c>
      <c r="C38" s="18" t="s">
        <v>209</v>
      </c>
      <c r="D38" s="287">
        <f>-('8'!D25+'8'!D35)</f>
        <v>0</v>
      </c>
      <c r="E38" s="287">
        <f>-('8'!E25+'8'!E35)</f>
        <v>0</v>
      </c>
      <c r="F38" s="287">
        <f>-('8'!F25+'8'!F35)</f>
        <v>0</v>
      </c>
      <c r="G38" s="287">
        <f>-('8'!G25+'8'!G35)</f>
        <v>0</v>
      </c>
      <c r="H38" s="287">
        <f>-('8'!H25+'8'!H35)</f>
        <v>0</v>
      </c>
      <c r="I38" s="287">
        <f>-('8'!I25+'8'!I35)</f>
        <v>0</v>
      </c>
      <c r="J38" s="287">
        <f>-('8'!J25+'8'!J35)</f>
        <v>0</v>
      </c>
      <c r="K38" s="287">
        <f>-('8'!K25+'8'!K35)</f>
        <v>0</v>
      </c>
      <c r="L38" s="287">
        <f>-('8'!L25+'8'!L35)</f>
        <v>0</v>
      </c>
      <c r="N38" s="96"/>
    </row>
    <row r="39" spans="1:14" ht="36" x14ac:dyDescent="0.25">
      <c r="A39" s="11"/>
      <c r="B39" s="286" t="s">
        <v>923</v>
      </c>
      <c r="C39" s="18" t="s">
        <v>975</v>
      </c>
      <c r="D39" s="121"/>
      <c r="E39" s="121"/>
      <c r="F39" s="121"/>
      <c r="G39" s="121"/>
      <c r="H39" s="121"/>
      <c r="I39" s="121"/>
      <c r="J39" s="121"/>
      <c r="K39" s="121"/>
      <c r="L39" s="121"/>
      <c r="N39" s="96"/>
    </row>
    <row r="40" spans="1:14" ht="24" x14ac:dyDescent="0.25">
      <c r="A40" s="11"/>
      <c r="B40" s="286" t="s">
        <v>924</v>
      </c>
      <c r="C40" s="18" t="s">
        <v>974</v>
      </c>
      <c r="D40" s="121"/>
      <c r="E40" s="287">
        <f>SUMIFS('5'!$F:$F,'5'!$B:$B,"Paramos išmokėjimas*",'5'!$C:$C,"&gt;="&amp;DATE('9.3_nvo'!E6,1,1),'5'!$C:$C,"&lt;="&amp;DATE('9.3_nvo'!E6,12,31))+SUMIFS('5'!$C$14,'9.3_nvo'!E$6,YEAR('5'!$C$15))</f>
        <v>0</v>
      </c>
      <c r="F40" s="287">
        <f>SUMIFS('5'!$F:$F,'5'!$B:$B,"Paramos išmokėjimas*",'5'!$C:$C,"&gt;="&amp;DATE('9.3_nvo'!F6,1,1),'5'!$C:$C,"&lt;="&amp;DATE('9.3_nvo'!F6,12,31))+SUMIFS('5'!$C$14,'9.3_nvo'!F$6,YEAR('5'!$C$15))</f>
        <v>0</v>
      </c>
      <c r="G40" s="287">
        <f>SUMIFS('5'!$F:$F,'5'!$B:$B,"Paramos išmokėjimas*",'5'!$C:$C,"&gt;="&amp;DATE('9.3_nvo'!G6,1,1),'5'!$C:$C,"&lt;="&amp;DATE('9.3_nvo'!G6,12,31))+SUMIFS('5'!$C$14,'9.3_nvo'!G$6,YEAR('5'!$C$15))</f>
        <v>0</v>
      </c>
      <c r="H40" s="287">
        <f>SUMIFS('5'!$F:$F,'5'!$B:$B,"Paramos išmokėjimas*",'5'!$C:$C,"&gt;="&amp;DATE('9.3_nvo'!H6,1,1),'5'!$C:$C,"&lt;="&amp;DATE('9.3_nvo'!H6,12,31))+SUMIFS('5'!$C$14,'9.3_nvo'!H$6,YEAR('5'!$C$15))</f>
        <v>0</v>
      </c>
      <c r="I40" s="287">
        <f>SUMIFS('5'!$F:$F,'5'!$B:$B,"Paramos išmokėjimas*",'5'!$C:$C,"&gt;="&amp;DATE('9.3_nvo'!I6,1,1),'5'!$C:$C,"&lt;="&amp;DATE('9.3_nvo'!I6,12,31))+SUMIFS('5'!$C$14,'9.3_nvo'!I$6,YEAR('5'!$C$15))</f>
        <v>0</v>
      </c>
      <c r="J40" s="287">
        <f>SUMIFS('5'!$F:$F,'5'!$B:$B,"Paramos išmokėjimas*",'5'!$C:$C,"&gt;="&amp;DATE('9.3_nvo'!J6,1,1),'5'!$C:$C,"&lt;="&amp;DATE('9.3_nvo'!J6,12,31))+SUMIFS('5'!$C$14,'9.3_nvo'!J$6,YEAR('5'!$C$15))</f>
        <v>0</v>
      </c>
      <c r="K40" s="287">
        <f>SUMIFS('5'!$F:$F,'5'!$B:$B,"Paramos išmokėjimas*",'5'!$C:$C,"&gt;="&amp;DATE('9.3_nvo'!K6,1,1),'5'!$C:$C,"&lt;="&amp;DATE('9.3_nvo'!K6,12,31))+SUMIFS('5'!$C$14,'9.3_nvo'!K$6,YEAR('5'!$C$15))</f>
        <v>0</v>
      </c>
      <c r="L40" s="287">
        <f>SUMIFS('5'!$F:$F,'5'!$B:$B,"Paramos išmokėjimas*",'5'!$C:$C,"&gt;="&amp;DATE('9.3_nvo'!L6,1,1),'5'!$C:$C,"&lt;="&amp;DATE('9.3_nvo'!L6,12,31))+SUMIFS('5'!$C$14,'9.3_nvo'!L$6,YEAR('5'!$C$15))</f>
        <v>0</v>
      </c>
      <c r="M40" s="55"/>
      <c r="N40" s="172" t="s">
        <v>1000</v>
      </c>
    </row>
    <row r="41" spans="1:14" ht="24" x14ac:dyDescent="0.25">
      <c r="A41" s="11"/>
      <c r="B41" s="286" t="s">
        <v>925</v>
      </c>
      <c r="C41" s="18" t="s">
        <v>911</v>
      </c>
      <c r="D41" s="124"/>
      <c r="E41" s="124"/>
      <c r="F41" s="123"/>
      <c r="G41" s="123"/>
      <c r="H41" s="123"/>
      <c r="I41" s="123"/>
      <c r="J41" s="123"/>
      <c r="K41" s="123"/>
      <c r="L41" s="123"/>
      <c r="N41" s="172" t="s">
        <v>591</v>
      </c>
    </row>
    <row r="42" spans="1:14" x14ac:dyDescent="0.25">
      <c r="A42" s="11"/>
      <c r="B42" s="286" t="s">
        <v>926</v>
      </c>
      <c r="C42" s="18" t="s">
        <v>933</v>
      </c>
      <c r="D42" s="121"/>
      <c r="E42" s="121"/>
      <c r="F42" s="121"/>
      <c r="G42" s="121"/>
      <c r="H42" s="121"/>
      <c r="I42" s="121"/>
      <c r="J42" s="121"/>
      <c r="K42" s="121"/>
      <c r="L42" s="121"/>
      <c r="N42" s="172"/>
    </row>
    <row r="43" spans="1:14" x14ac:dyDescent="0.25">
      <c r="A43" s="11"/>
      <c r="B43" s="286" t="s">
        <v>927</v>
      </c>
      <c r="C43" s="18" t="s">
        <v>211</v>
      </c>
      <c r="D43" s="121"/>
      <c r="E43" s="121"/>
      <c r="F43" s="121"/>
      <c r="G43" s="121"/>
      <c r="H43" s="121"/>
      <c r="I43" s="121"/>
      <c r="J43" s="121"/>
      <c r="K43" s="121"/>
      <c r="L43" s="121"/>
      <c r="N43" s="172" t="s">
        <v>591</v>
      </c>
    </row>
    <row r="44" spans="1:14" x14ac:dyDescent="0.25">
      <c r="A44" s="11"/>
      <c r="B44" s="286" t="s">
        <v>928</v>
      </c>
      <c r="C44" s="18" t="s">
        <v>212</v>
      </c>
      <c r="D44" s="124"/>
      <c r="E44" s="124"/>
      <c r="F44" s="124"/>
      <c r="G44" s="124"/>
      <c r="H44" s="124"/>
      <c r="I44" s="124"/>
      <c r="J44" s="124"/>
      <c r="K44" s="124"/>
      <c r="L44" s="124"/>
      <c r="N44" s="172" t="s">
        <v>591</v>
      </c>
    </row>
    <row r="45" spans="1:14" x14ac:dyDescent="0.25">
      <c r="A45" s="11"/>
      <c r="B45" s="293" t="s">
        <v>1006</v>
      </c>
      <c r="C45" s="196" t="s">
        <v>215</v>
      </c>
      <c r="D45" s="294">
        <f>SUM(D34:D44)</f>
        <v>0</v>
      </c>
      <c r="E45" s="294">
        <f t="shared" ref="E45:L45" si="2">SUM(E34:E44)</f>
        <v>0</v>
      </c>
      <c r="F45" s="294">
        <f t="shared" si="2"/>
        <v>0</v>
      </c>
      <c r="G45" s="294">
        <f t="shared" si="2"/>
        <v>0</v>
      </c>
      <c r="H45" s="294">
        <f t="shared" si="2"/>
        <v>0</v>
      </c>
      <c r="I45" s="294">
        <f t="shared" si="2"/>
        <v>0</v>
      </c>
      <c r="J45" s="294">
        <f t="shared" si="2"/>
        <v>0</v>
      </c>
      <c r="K45" s="294">
        <f t="shared" si="2"/>
        <v>0</v>
      </c>
      <c r="L45" s="294">
        <f t="shared" si="2"/>
        <v>0</v>
      </c>
      <c r="N45" s="96"/>
    </row>
    <row r="46" spans="1:14" ht="24" x14ac:dyDescent="0.25">
      <c r="A46" s="11"/>
      <c r="B46" s="286" t="s">
        <v>516</v>
      </c>
      <c r="C46" s="18" t="s">
        <v>216</v>
      </c>
      <c r="D46" s="121"/>
      <c r="E46" s="123"/>
      <c r="F46" s="123"/>
      <c r="G46" s="123"/>
      <c r="H46" s="123"/>
      <c r="I46" s="123"/>
      <c r="J46" s="123"/>
      <c r="K46" s="123"/>
      <c r="L46" s="123"/>
      <c r="N46" s="172" t="s">
        <v>591</v>
      </c>
    </row>
    <row r="47" spans="1:14" ht="24" x14ac:dyDescent="0.25">
      <c r="A47" s="11"/>
      <c r="B47" s="288" t="s">
        <v>517</v>
      </c>
      <c r="C47" s="242" t="s">
        <v>217</v>
      </c>
      <c r="D47" s="253">
        <f t="shared" ref="D47:L47" si="3">SUM(D23,D32,D45,D46)</f>
        <v>0</v>
      </c>
      <c r="E47" s="253">
        <f>SUM(E23,E32,E45,E46)</f>
        <v>0</v>
      </c>
      <c r="F47" s="253">
        <f t="shared" si="3"/>
        <v>0</v>
      </c>
      <c r="G47" s="253">
        <f t="shared" si="3"/>
        <v>0</v>
      </c>
      <c r="H47" s="253">
        <f t="shared" si="3"/>
        <v>0</v>
      </c>
      <c r="I47" s="253">
        <f t="shared" si="3"/>
        <v>0</v>
      </c>
      <c r="J47" s="253">
        <f t="shared" si="3"/>
        <v>0</v>
      </c>
      <c r="K47" s="253">
        <f t="shared" si="3"/>
        <v>0</v>
      </c>
      <c r="L47" s="253">
        <f t="shared" si="3"/>
        <v>0</v>
      </c>
      <c r="N47" s="96"/>
    </row>
    <row r="48" spans="1:14" ht="24" x14ac:dyDescent="0.25">
      <c r="A48" s="11"/>
      <c r="B48" s="288" t="s">
        <v>518</v>
      </c>
      <c r="C48" s="242" t="s">
        <v>218</v>
      </c>
      <c r="D48" s="121"/>
      <c r="E48" s="253">
        <f>+D49</f>
        <v>0</v>
      </c>
      <c r="F48" s="253">
        <f t="shared" ref="F48:L48" si="4">E49</f>
        <v>0</v>
      </c>
      <c r="G48" s="253">
        <f t="shared" si="4"/>
        <v>0</v>
      </c>
      <c r="H48" s="253">
        <f t="shared" si="4"/>
        <v>0</v>
      </c>
      <c r="I48" s="253">
        <f t="shared" si="4"/>
        <v>0</v>
      </c>
      <c r="J48" s="253">
        <f t="shared" si="4"/>
        <v>0</v>
      </c>
      <c r="K48" s="253">
        <f t="shared" si="4"/>
        <v>0</v>
      </c>
      <c r="L48" s="253">
        <f t="shared" si="4"/>
        <v>0</v>
      </c>
      <c r="N48" s="96"/>
    </row>
    <row r="49" spans="1:14" ht="24" x14ac:dyDescent="0.25">
      <c r="A49" s="11"/>
      <c r="B49" s="293" t="s">
        <v>519</v>
      </c>
      <c r="C49" s="196" t="s">
        <v>219</v>
      </c>
      <c r="D49" s="294">
        <f>D47+D48</f>
        <v>0</v>
      </c>
      <c r="E49" s="294">
        <f t="shared" ref="E49:L49" si="5">+E48+E47</f>
        <v>0</v>
      </c>
      <c r="F49" s="294">
        <f t="shared" si="5"/>
        <v>0</v>
      </c>
      <c r="G49" s="294">
        <f t="shared" si="5"/>
        <v>0</v>
      </c>
      <c r="H49" s="294">
        <f t="shared" si="5"/>
        <v>0</v>
      </c>
      <c r="I49" s="294">
        <f t="shared" si="5"/>
        <v>0</v>
      </c>
      <c r="J49" s="294">
        <f t="shared" si="5"/>
        <v>0</v>
      </c>
      <c r="K49" s="294">
        <f t="shared" si="5"/>
        <v>0</v>
      </c>
      <c r="L49" s="294">
        <f t="shared" si="5"/>
        <v>0</v>
      </c>
      <c r="M49" s="55"/>
      <c r="N49" s="126" t="str">
        <f>IF(COUNTIFS(D49:L49,"&lt;0")&gt;0,"Klaida! Pinigų likutis negali būti neigiamas!","ok")</f>
        <v>ok</v>
      </c>
    </row>
    <row r="50" spans="1:14" x14ac:dyDescent="0.25">
      <c r="N50" s="126"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D44:L44">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0"/>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H6" sqref="H6"/>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159</v>
      </c>
      <c r="B1" s="538" t="s">
        <v>6</v>
      </c>
      <c r="C1" s="538"/>
      <c r="D1" s="538"/>
      <c r="E1" s="538"/>
      <c r="F1" s="538"/>
      <c r="G1" s="538"/>
      <c r="H1" s="235"/>
      <c r="I1" s="235"/>
      <c r="J1" s="235"/>
      <c r="K1" s="235"/>
      <c r="L1" s="247"/>
      <c r="N1" s="311" t="s">
        <v>296</v>
      </c>
    </row>
    <row r="2" spans="1:15" x14ac:dyDescent="0.25">
      <c r="N2" s="312"/>
    </row>
    <row r="3" spans="1:15" ht="38.25" x14ac:dyDescent="0.25">
      <c r="A3" s="502" t="s">
        <v>22</v>
      </c>
      <c r="B3" s="539" t="s">
        <v>77</v>
      </c>
      <c r="C3" s="260" t="s">
        <v>220</v>
      </c>
      <c r="D3" s="193" t="str">
        <f>IF(AND('1'!$C$22="Verslo pradžia",YEAR('1'!$E$22)=YEAR('1'!$C$11)),"Pradžios metai","Ataskaitiniai metai")</f>
        <v>Ataskaitiniai metai</v>
      </c>
      <c r="E3" s="453" t="s">
        <v>12</v>
      </c>
      <c r="F3" s="454"/>
      <c r="G3" s="454"/>
      <c r="H3" s="454"/>
      <c r="I3" s="454"/>
      <c r="J3" s="454"/>
      <c r="K3" s="454"/>
      <c r="L3" s="455"/>
      <c r="N3" s="312"/>
    </row>
    <row r="4" spans="1:15" ht="15" customHeight="1" thickBot="1" x14ac:dyDescent="0.3">
      <c r="A4" s="503"/>
      <c r="B4" s="540"/>
      <c r="C4" s="194" t="str">
        <f>_xlfn.CONCAT("",YEAR(Parametrai!$C$13)-2)</f>
        <v>2022</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2"/>
      <c r="O4" s="257" t="s">
        <v>245</v>
      </c>
    </row>
    <row r="5" spans="1:15" ht="15.75" thickTop="1" x14ac:dyDescent="0.25">
      <c r="A5" s="382" t="s">
        <v>458</v>
      </c>
      <c r="B5" s="264" t="s">
        <v>222</v>
      </c>
      <c r="C5" s="261"/>
      <c r="D5" s="309" t="str">
        <f>IFERROR('9.1_nvo'!D49/'9.1_nvo'!D31,"-")</f>
        <v>-</v>
      </c>
      <c r="E5" s="309" t="str">
        <f>IFERROR('9.1_nvo'!E49/'9.1_nvo'!E31,"-")</f>
        <v>-</v>
      </c>
      <c r="F5" s="309" t="str">
        <f>IFERROR('9.1_nvo'!F49/'9.1_nvo'!F31,"-")</f>
        <v>-</v>
      </c>
      <c r="G5" s="309" t="str">
        <f>IFERROR('9.1_nvo'!G49/'9.1_nvo'!G31,"-")</f>
        <v>-</v>
      </c>
      <c r="H5" s="309" t="str">
        <f>IFERROR('9.1_nvo'!H49/'9.1_nvo'!H31,"-")</f>
        <v>-</v>
      </c>
      <c r="I5" s="309" t="str">
        <f>IFERROR('9.1_nvo'!I49/'9.1_nvo'!I31,"-")</f>
        <v>-</v>
      </c>
      <c r="J5" s="309" t="str">
        <f>IFERROR('9.1_nvo'!J49/'9.1_nvo'!J31,"-")</f>
        <v>-</v>
      </c>
      <c r="K5" s="309" t="str">
        <f>IFERROR('9.1_nvo'!K49/'9.1_nvo'!K31,"-")</f>
        <v>-</v>
      </c>
      <c r="L5" s="309" t="str">
        <f>IFERROR('9.1_nvo'!L49/'9.1_nvo'!L31,"-")</f>
        <v>-</v>
      </c>
      <c r="M5" s="55"/>
      <c r="N5" s="312"/>
      <c r="O5" s="258">
        <f>Parametrai!C22</f>
        <v>0.65</v>
      </c>
    </row>
    <row r="6" spans="1:15" x14ac:dyDescent="0.25">
      <c r="A6" s="382" t="s">
        <v>457</v>
      </c>
      <c r="B6" s="264" t="s">
        <v>223</v>
      </c>
      <c r="C6" s="262"/>
      <c r="D6" s="310" t="str">
        <f>IFERROR('9.2_nvo'!D27/'9.2_nvo'!D7,"-")</f>
        <v>-</v>
      </c>
      <c r="E6" s="310" t="str">
        <f>IFERROR('9.2_nvo'!E27/'9.2_nvo'!E7,"-")</f>
        <v>-</v>
      </c>
      <c r="F6" s="310" t="str">
        <f>IFERROR('9.2_nvo'!F27/'9.2_nvo'!F7,"-")</f>
        <v>-</v>
      </c>
      <c r="G6" s="310" t="str">
        <f>IFERROR('9.2_nvo'!G27/'9.2_nvo'!G7,"-")</f>
        <v>-</v>
      </c>
      <c r="H6" s="310" t="str">
        <f>IFERROR('9.2_nvo'!H27/'9.2_nvo'!H7,"-")</f>
        <v>-</v>
      </c>
      <c r="I6" s="310" t="str">
        <f>IFERROR('9.2_nvo'!I27/'9.2_nvo'!I7,"-")</f>
        <v>-</v>
      </c>
      <c r="J6" s="310" t="str">
        <f>IFERROR('9.2_nvo'!J27/'9.2_nvo'!J7,"-")</f>
        <v>-</v>
      </c>
      <c r="K6" s="310" t="str">
        <f>IFERROR('9.2_nvo'!K27/'9.2_nvo'!K7,"-")</f>
        <v>-</v>
      </c>
      <c r="L6" s="310" t="str">
        <f>IFERROR('9.2_nvo'!L27/'9.2_nvo'!L7,"-")</f>
        <v>-</v>
      </c>
      <c r="M6" s="55"/>
      <c r="N6" s="312"/>
      <c r="O6" s="259">
        <f>Parametrai!C23</f>
        <v>0</v>
      </c>
    </row>
    <row r="7" spans="1:15" x14ac:dyDescent="0.25">
      <c r="N7" s="312"/>
    </row>
    <row r="8" spans="1:15" x14ac:dyDescent="0.25">
      <c r="N8" s="312"/>
    </row>
    <row r="9" spans="1:15" ht="24" customHeight="1" x14ac:dyDescent="0.25">
      <c r="B9" s="537" t="s">
        <v>728</v>
      </c>
      <c r="C9" s="537"/>
      <c r="D9" s="537"/>
      <c r="E9" s="537"/>
      <c r="F9" s="537"/>
      <c r="G9" s="537"/>
      <c r="H9" s="537"/>
      <c r="I9" s="537"/>
      <c r="J9" s="537"/>
      <c r="K9" s="537"/>
      <c r="L9" s="537"/>
      <c r="N9" s="312"/>
    </row>
    <row r="10" spans="1:15" ht="137.65" customHeight="1" x14ac:dyDescent="0.25">
      <c r="B10" s="536" t="s">
        <v>723</v>
      </c>
      <c r="C10" s="536"/>
      <c r="D10" s="536"/>
      <c r="E10" s="536"/>
      <c r="F10" s="536"/>
      <c r="G10" s="536"/>
      <c r="H10" s="536"/>
      <c r="I10" s="536"/>
      <c r="J10" s="536"/>
      <c r="K10" s="536"/>
      <c r="L10" s="536"/>
      <c r="N10" s="312"/>
    </row>
    <row r="11" spans="1:15" ht="50.65" customHeight="1" x14ac:dyDescent="0.25">
      <c r="B11" s="536" t="s">
        <v>724</v>
      </c>
      <c r="C11" s="536"/>
      <c r="D11" s="536"/>
      <c r="E11" s="536"/>
      <c r="F11" s="536"/>
      <c r="G11" s="536"/>
      <c r="H11" s="536"/>
      <c r="I11" s="536"/>
      <c r="J11" s="536"/>
      <c r="K11" s="536"/>
      <c r="L11" s="536"/>
      <c r="N11" s="312"/>
    </row>
    <row r="12" spans="1:15" ht="76.349999999999994" customHeight="1" x14ac:dyDescent="0.25">
      <c r="B12" s="536" t="s">
        <v>725</v>
      </c>
      <c r="C12" s="536"/>
      <c r="D12" s="536"/>
      <c r="E12" s="536"/>
      <c r="F12" s="536"/>
      <c r="G12" s="536"/>
      <c r="H12" s="536"/>
      <c r="I12" s="536"/>
      <c r="J12" s="536"/>
      <c r="K12" s="536"/>
      <c r="L12" s="536"/>
      <c r="N12" s="312"/>
    </row>
    <row r="13" spans="1:15" ht="76.349999999999994" customHeight="1" x14ac:dyDescent="0.25">
      <c r="B13" s="536" t="s">
        <v>726</v>
      </c>
      <c r="C13" s="536"/>
      <c r="D13" s="536"/>
      <c r="E13" s="536"/>
      <c r="F13" s="536"/>
      <c r="G13" s="536"/>
      <c r="H13" s="536"/>
      <c r="I13" s="536"/>
      <c r="J13" s="536"/>
      <c r="K13" s="536"/>
      <c r="L13" s="536"/>
      <c r="N13" s="312"/>
    </row>
    <row r="14" spans="1:15" ht="53.65" customHeight="1" x14ac:dyDescent="0.25">
      <c r="B14" s="536" t="s">
        <v>727</v>
      </c>
      <c r="C14" s="536"/>
      <c r="D14" s="536"/>
      <c r="E14" s="536"/>
      <c r="F14" s="536"/>
      <c r="G14" s="536"/>
      <c r="H14" s="536"/>
      <c r="I14" s="536"/>
      <c r="J14" s="536"/>
      <c r="K14" s="536"/>
      <c r="L14" s="536"/>
      <c r="N14" s="312"/>
    </row>
    <row r="15" spans="1:15" x14ac:dyDescent="0.25">
      <c r="B15" s="4"/>
    </row>
    <row r="16" spans="1:15" x14ac:dyDescent="0.25">
      <c r="B16" s="4"/>
    </row>
    <row r="18" spans="2:2" x14ac:dyDescent="0.25">
      <c r="B18" s="4"/>
    </row>
    <row r="19" spans="2:2" x14ac:dyDescent="0.25">
      <c r="B19" s="4"/>
    </row>
    <row r="20" spans="2:2" x14ac:dyDescent="0.25">
      <c r="B20" s="4"/>
    </row>
  </sheetData>
  <mergeCells count="10">
    <mergeCell ref="B11:L11"/>
    <mergeCell ref="B12:L12"/>
    <mergeCell ref="B13:L13"/>
    <mergeCell ref="B14:L14"/>
    <mergeCell ref="B1:G1"/>
    <mergeCell ref="A3:A4"/>
    <mergeCell ref="B3:B4"/>
    <mergeCell ref="E3:L3"/>
    <mergeCell ref="B9:L9"/>
    <mergeCell ref="B10:L10"/>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3" t="s">
        <v>786</v>
      </c>
      <c r="C2" s="384" t="s">
        <v>1044</v>
      </c>
    </row>
    <row r="4" spans="1:5" x14ac:dyDescent="0.25">
      <c r="B4" t="s">
        <v>787</v>
      </c>
    </row>
    <row r="6" spans="1:5" ht="30" x14ac:dyDescent="0.25">
      <c r="A6" s="401" t="s">
        <v>22</v>
      </c>
      <c r="B6" s="401" t="s">
        <v>789</v>
      </c>
      <c r="C6" s="401" t="s">
        <v>790</v>
      </c>
      <c r="D6" s="401" t="s">
        <v>788</v>
      </c>
      <c r="E6" s="401" t="s">
        <v>791</v>
      </c>
    </row>
    <row r="7" spans="1:5" ht="75" x14ac:dyDescent="0.25">
      <c r="A7" s="77">
        <f>ROW()-ROW(Pataisymai[[#Headers],[Eil. Nr.]])</f>
        <v>1</v>
      </c>
      <c r="B7" s="75" t="s">
        <v>848</v>
      </c>
      <c r="C7" s="407">
        <v>45357</v>
      </c>
      <c r="D7" s="75" t="s">
        <v>1007</v>
      </c>
      <c r="E7" s="74"/>
    </row>
    <row r="8" spans="1:5" ht="30" x14ac:dyDescent="0.25">
      <c r="A8" s="77">
        <f>ROW()-ROW(Pataisymai[[#Headers],[Eil. Nr.]])</f>
        <v>2</v>
      </c>
      <c r="B8" s="75" t="s">
        <v>995</v>
      </c>
      <c r="C8" s="407">
        <v>45362</v>
      </c>
      <c r="D8" s="75"/>
      <c r="E8" s="74"/>
    </row>
    <row r="9" spans="1:5" ht="30" x14ac:dyDescent="0.25">
      <c r="A9" s="77">
        <f>ROW()-ROW(Pataisymai[[#Headers],[Eil. Nr.]])</f>
        <v>3</v>
      </c>
      <c r="B9" s="75" t="s">
        <v>1046</v>
      </c>
      <c r="C9" s="407">
        <v>45364</v>
      </c>
      <c r="D9" s="75" t="s">
        <v>1045</v>
      </c>
      <c r="E9" s="407">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2:E32"/>
  <sheetViews>
    <sheetView zoomScale="120" zoomScaleNormal="120" workbookViewId="0">
      <selection activeCell="F12" sqref="F12"/>
    </sheetView>
  </sheetViews>
  <sheetFormatPr defaultRowHeight="15" x14ac:dyDescent="0.25"/>
  <cols>
    <col min="1" max="1" width="4.140625" customWidth="1"/>
    <col min="2" max="2" width="32.85546875" customWidth="1"/>
    <col min="3" max="3" width="26.7109375" customWidth="1"/>
    <col min="4" max="4" width="4.140625" customWidth="1"/>
  </cols>
  <sheetData>
    <row r="2" spans="2:5" x14ac:dyDescent="0.25">
      <c r="B2" s="383" t="s">
        <v>772</v>
      </c>
      <c r="C2" s="397">
        <v>2</v>
      </c>
    </row>
    <row r="3" spans="2:5" x14ac:dyDescent="0.25">
      <c r="B3" s="399"/>
      <c r="C3" s="400"/>
    </row>
    <row r="4" spans="2:5" x14ac:dyDescent="0.25">
      <c r="B4" s="72" t="s">
        <v>301</v>
      </c>
    </row>
    <row r="5" spans="2:5" x14ac:dyDescent="0.25">
      <c r="B5" s="72"/>
    </row>
    <row r="6" spans="2:5" ht="150" x14ac:dyDescent="0.25">
      <c r="B6" s="89" t="s">
        <v>719</v>
      </c>
      <c r="C6" s="89" t="s">
        <v>1047</v>
      </c>
    </row>
    <row r="9" spans="2:5" x14ac:dyDescent="0.25">
      <c r="B9" s="415" t="s">
        <v>1027</v>
      </c>
      <c r="C9" s="415" t="s">
        <v>1025</v>
      </c>
    </row>
    <row r="12" spans="2:5" x14ac:dyDescent="0.25">
      <c r="B12" s="89" t="s">
        <v>455</v>
      </c>
      <c r="C12" s="88">
        <v>45582</v>
      </c>
    </row>
    <row r="13" spans="2:5" x14ac:dyDescent="0.25">
      <c r="B13" s="89" t="s">
        <v>239</v>
      </c>
      <c r="C13" s="88">
        <v>45614</v>
      </c>
    </row>
    <row r="14" spans="2:5" ht="30" x14ac:dyDescent="0.25">
      <c r="B14" s="89" t="s">
        <v>298</v>
      </c>
      <c r="C14" s="87">
        <v>36</v>
      </c>
    </row>
    <row r="15" spans="2:5" ht="30" x14ac:dyDescent="0.25">
      <c r="B15" s="89" t="s">
        <v>302</v>
      </c>
      <c r="C15" s="87">
        <v>5</v>
      </c>
    </row>
    <row r="16" spans="2:5" ht="30" x14ac:dyDescent="0.25">
      <c r="B16" s="267" t="s">
        <v>305</v>
      </c>
      <c r="C16" s="266">
        <v>46752</v>
      </c>
      <c r="E16" s="74" t="s">
        <v>366</v>
      </c>
    </row>
    <row r="17" spans="2:3" x14ac:dyDescent="0.25">
      <c r="B17" s="89" t="s">
        <v>440</v>
      </c>
      <c r="C17" s="87">
        <v>4</v>
      </c>
    </row>
    <row r="18" spans="2:3" x14ac:dyDescent="0.25">
      <c r="B18" s="268"/>
      <c r="C18" s="265"/>
    </row>
    <row r="19" spans="2:3" x14ac:dyDescent="0.25">
      <c r="B19" s="268"/>
      <c r="C19" s="265"/>
    </row>
    <row r="20" spans="2:3" x14ac:dyDescent="0.25">
      <c r="B20" s="269" t="s">
        <v>300</v>
      </c>
      <c r="C20" s="92" t="s">
        <v>245</v>
      </c>
    </row>
    <row r="21" spans="2:3" x14ac:dyDescent="0.25">
      <c r="B21" s="89" t="s">
        <v>221</v>
      </c>
      <c r="C21" s="93">
        <v>1.25</v>
      </c>
    </row>
    <row r="22" spans="2:3" x14ac:dyDescent="0.25">
      <c r="B22" s="89" t="s">
        <v>222</v>
      </c>
      <c r="C22" s="93">
        <v>0.65</v>
      </c>
    </row>
    <row r="23" spans="2:3" x14ac:dyDescent="0.25">
      <c r="B23" s="89" t="s">
        <v>223</v>
      </c>
      <c r="C23" s="94">
        <v>0</v>
      </c>
    </row>
    <row r="24" spans="2:3" x14ac:dyDescent="0.25">
      <c r="B24" s="89" t="s">
        <v>240</v>
      </c>
      <c r="C24" s="93">
        <v>1</v>
      </c>
    </row>
    <row r="25" spans="2:3" x14ac:dyDescent="0.25">
      <c r="B25" s="268"/>
      <c r="C25" s="265"/>
    </row>
    <row r="26" spans="2:3" x14ac:dyDescent="0.25">
      <c r="B26" s="268"/>
      <c r="C26" s="265"/>
    </row>
    <row r="27" spans="2:3" ht="30" x14ac:dyDescent="0.25">
      <c r="B27" s="89" t="s">
        <v>354</v>
      </c>
      <c r="C27" s="94">
        <v>0.4</v>
      </c>
    </row>
    <row r="29" spans="2:3" x14ac:dyDescent="0.25">
      <c r="B29" s="420" t="s">
        <v>1037</v>
      </c>
      <c r="C29" s="421" t="s">
        <v>1041</v>
      </c>
    </row>
    <row r="30" spans="2:3" x14ac:dyDescent="0.25">
      <c r="B30" s="418" t="s">
        <v>350</v>
      </c>
      <c r="C30" s="419" t="s">
        <v>1038</v>
      </c>
    </row>
    <row r="31" spans="2:3" x14ac:dyDescent="0.25">
      <c r="B31" s="418" t="s">
        <v>351</v>
      </c>
      <c r="C31" s="419" t="s">
        <v>1038</v>
      </c>
    </row>
    <row r="32" spans="2:3" x14ac:dyDescent="0.25">
      <c r="B32" s="422" t="s">
        <v>341</v>
      </c>
      <c r="C32" s="423" t="s">
        <v>1038</v>
      </c>
    </row>
  </sheetData>
  <dataValidations count="1">
    <dataValidation type="list" allowBlank="1" showInputMessage="1" showErrorMessage="1" sqref="C30:C32" xr:uid="{E15458E8-9B84-4C94-9A0B-E893A7B28811}">
      <formula1>Meniu_TaipNe</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180" zoomScaleNormal="180" workbookViewId="0">
      <selection activeCell="G26" sqref="G26"/>
    </sheetView>
  </sheetViews>
  <sheetFormatPr defaultColWidth="8.7109375" defaultRowHeight="12.75" x14ac:dyDescent="0.2"/>
  <cols>
    <col min="1" max="1" width="2.28515625" style="346" customWidth="1"/>
    <col min="2" max="2" width="4.85546875" style="346" hidden="1" customWidth="1"/>
    <col min="3" max="3" width="7.85546875" style="346" customWidth="1"/>
    <col min="4" max="4" width="64.28515625" style="346" customWidth="1"/>
    <col min="5" max="5" width="2.42578125" style="346" customWidth="1"/>
    <col min="6" max="16384" width="8.7109375" style="346"/>
  </cols>
  <sheetData>
    <row r="2" spans="2:4" ht="15" x14ac:dyDescent="0.2">
      <c r="B2" s="424" t="s">
        <v>5</v>
      </c>
      <c r="C2" s="424"/>
      <c r="D2" s="424"/>
    </row>
    <row r="4" spans="2:4" s="347" customFormat="1" ht="26.25" customHeight="1" x14ac:dyDescent="0.25">
      <c r="B4" s="348" t="s">
        <v>22</v>
      </c>
      <c r="C4" s="348" t="s">
        <v>714</v>
      </c>
      <c r="D4" s="348" t="s">
        <v>378</v>
      </c>
    </row>
    <row r="5" spans="2:4" s="347" customFormat="1" ht="15" x14ac:dyDescent="0.25">
      <c r="B5" s="349">
        <f>ROW()-ROW(Turinys[[#Headers],[Eil. Nr.]])</f>
        <v>1</v>
      </c>
      <c r="C5" s="349"/>
      <c r="D5" s="350" t="s">
        <v>296</v>
      </c>
    </row>
    <row r="6" spans="2:4" s="347" customFormat="1" ht="15" x14ac:dyDescent="0.25">
      <c r="B6" s="349">
        <f>ROW()-ROW(Turinys[[#Headers],[Eil. Nr.]])</f>
        <v>2</v>
      </c>
      <c r="C6" s="349" t="s">
        <v>0</v>
      </c>
      <c r="D6" s="350" t="s">
        <v>773</v>
      </c>
    </row>
    <row r="7" spans="2:4" s="347" customFormat="1" ht="15" x14ac:dyDescent="0.25">
      <c r="B7" s="349">
        <f>ROW()-ROW(Turinys[[#Headers],[Eil. Nr.]])</f>
        <v>3</v>
      </c>
      <c r="C7" s="349" t="s">
        <v>7</v>
      </c>
      <c r="D7" s="350" t="s">
        <v>774</v>
      </c>
    </row>
    <row r="8" spans="2:4" s="347" customFormat="1" ht="30" x14ac:dyDescent="0.25">
      <c r="B8" s="349">
        <f>ROW()-ROW(Turinys[[#Headers],[Eil. Nr.]])</f>
        <v>4</v>
      </c>
      <c r="C8" s="349" t="s">
        <v>8</v>
      </c>
      <c r="D8" s="350" t="s">
        <v>775</v>
      </c>
    </row>
    <row r="9" spans="2:4" s="347" customFormat="1" ht="15" x14ac:dyDescent="0.25">
      <c r="B9" s="349">
        <f>ROW()-ROW(Turinys[[#Headers],[Eil. Nr.]])</f>
        <v>5</v>
      </c>
      <c r="C9" s="349" t="s">
        <v>101</v>
      </c>
      <c r="D9" s="350" t="s">
        <v>776</v>
      </c>
    </row>
    <row r="10" spans="2:4" s="347" customFormat="1" ht="15" x14ac:dyDescent="0.25">
      <c r="B10" s="349">
        <f>ROW()-ROW(Turinys[[#Headers],[Eil. Nr.]])</f>
        <v>6</v>
      </c>
      <c r="C10" s="349" t="s">
        <v>9</v>
      </c>
      <c r="D10" s="350" t="s">
        <v>777</v>
      </c>
    </row>
    <row r="11" spans="2:4" s="347" customFormat="1" ht="15" x14ac:dyDescent="0.25">
      <c r="B11" s="349">
        <f>ROW()-ROW(Turinys[[#Headers],[Eil. Nr.]])</f>
        <v>7</v>
      </c>
      <c r="C11" s="349" t="s">
        <v>21</v>
      </c>
      <c r="D11" s="350" t="s">
        <v>778</v>
      </c>
    </row>
    <row r="12" spans="2:4" s="347" customFormat="1" ht="15" x14ac:dyDescent="0.25">
      <c r="B12" s="349">
        <f>ROW()-ROW(Turinys[[#Headers],[Eil. Nr.]])</f>
        <v>8</v>
      </c>
      <c r="C12" s="349" t="s">
        <v>34</v>
      </c>
      <c r="D12" s="350" t="s">
        <v>779</v>
      </c>
    </row>
    <row r="13" spans="2:4" s="347" customFormat="1" ht="30" x14ac:dyDescent="0.25">
      <c r="B13" s="349">
        <f>ROW()-ROW(Turinys[[#Headers],[Eil. Nr.]])</f>
        <v>9</v>
      </c>
      <c r="C13" s="349" t="s">
        <v>36</v>
      </c>
      <c r="D13" s="350" t="s">
        <v>780</v>
      </c>
    </row>
    <row r="14" spans="2:4" s="347" customFormat="1" ht="15" x14ac:dyDescent="0.25">
      <c r="B14" s="349">
        <f>ROW()-ROW(Turinys[[#Headers],[Eil. Nr.]])</f>
        <v>10</v>
      </c>
      <c r="C14" s="349" t="s">
        <v>715</v>
      </c>
      <c r="D14" s="350" t="s">
        <v>91</v>
      </c>
    </row>
    <row r="15" spans="2:4" s="347" customFormat="1" ht="15" x14ac:dyDescent="0.25">
      <c r="B15" s="349">
        <f>ROW()-ROW(Turinys[[#Headers],[Eil. Nr.]])</f>
        <v>11</v>
      </c>
      <c r="C15" s="349" t="s">
        <v>716</v>
      </c>
      <c r="D15" s="350" t="s">
        <v>150</v>
      </c>
    </row>
    <row r="16" spans="2:4" s="347" customFormat="1" ht="15" x14ac:dyDescent="0.25">
      <c r="B16" s="349">
        <f>ROW()-ROW(Turinys[[#Headers],[Eil. Nr.]])</f>
        <v>12</v>
      </c>
      <c r="C16" s="349" t="s">
        <v>717</v>
      </c>
      <c r="D16" s="350" t="s">
        <v>162</v>
      </c>
    </row>
    <row r="17" spans="2:4" s="347" customFormat="1" ht="15" x14ac:dyDescent="0.25">
      <c r="B17" s="349">
        <f>ROW()-ROW(Turinys[[#Headers],[Eil. Nr.]])</f>
        <v>13</v>
      </c>
      <c r="C17" s="349" t="s">
        <v>159</v>
      </c>
      <c r="D17" s="350" t="s">
        <v>781</v>
      </c>
    </row>
  </sheetData>
  <sheetProtection algorithmName="SHA-512" hashValue="R6rVWuVszpA4BnImgzWJ7WimQyePQRkPEWraCGFSrWGtHMuA5nsKXufcaxWSRfRl0W4ueCghPXGR/DXu8Hxh9A==" saltValue="9PBp82Jdc5/Qd39FPCy+pw=="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2" sqref="B12"/>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9" t="s">
        <v>450</v>
      </c>
    </row>
    <row r="3" spans="1:4" x14ac:dyDescent="0.25">
      <c r="B3" s="183" t="s">
        <v>566</v>
      </c>
    </row>
    <row r="4" spans="1:4" x14ac:dyDescent="0.25">
      <c r="B4" s="184" t="s">
        <v>567</v>
      </c>
    </row>
    <row r="5" spans="1:4" x14ac:dyDescent="0.25">
      <c r="B5" s="370" t="s">
        <v>568</v>
      </c>
    </row>
    <row r="6" spans="1:4" ht="24" x14ac:dyDescent="0.25">
      <c r="B6" s="371" t="s">
        <v>569</v>
      </c>
      <c r="D6" t="s">
        <v>456</v>
      </c>
    </row>
    <row r="7" spans="1:4" ht="36" x14ac:dyDescent="0.25">
      <c r="B7" s="372" t="s">
        <v>565</v>
      </c>
    </row>
    <row r="8" spans="1:4" ht="36" x14ac:dyDescent="0.25">
      <c r="B8" s="185" t="s">
        <v>718</v>
      </c>
      <c r="D8" s="111" t="s">
        <v>451</v>
      </c>
    </row>
    <row r="9" spans="1:4" ht="36.75" x14ac:dyDescent="0.25">
      <c r="B9" s="373" t="s">
        <v>722</v>
      </c>
      <c r="D9" t="s">
        <v>570</v>
      </c>
    </row>
    <row r="11" spans="1:4" ht="48.75" x14ac:dyDescent="0.25">
      <c r="A11" s="77"/>
      <c r="B11" s="374" t="s">
        <v>452</v>
      </c>
    </row>
    <row r="12" spans="1:4" ht="36.75" x14ac:dyDescent="0.25">
      <c r="B12" s="375" t="s">
        <v>454</v>
      </c>
    </row>
  </sheetData>
  <sheetProtection algorithmName="SHA-512" hashValue="qpM5CmkyJaJmS8DfpaPr1y4W4ISePeaE+L48/X+44QTr9NMpq+eVoVs2mEE8LB7RmHJFa4eTehWZIbdln+yn1w==" saltValue="5LTVKm5nqIL8z+IC3NSGrQ==" spinCount="100000" sheet="1" objects="1" scenarios="1"/>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zoomScale="130" zoomScaleNormal="130" workbookViewId="0">
      <selection activeCell="A9" sqref="A9:E9"/>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8" t="str">
        <f>_xlfn.CONCAT("Versija: ",Forma!$C$2,TEXT(Parametrai!$C$2,".000"))</f>
        <v>Versija: L2.002</v>
      </c>
      <c r="G1" s="86" t="s">
        <v>296</v>
      </c>
    </row>
    <row r="2" spans="1:11" ht="25.15" customHeight="1" x14ac:dyDescent="0.25">
      <c r="A2" s="425"/>
      <c r="B2" s="425"/>
      <c r="C2" s="425"/>
      <c r="D2" s="425"/>
      <c r="E2" s="425"/>
      <c r="G2" s="104" t="s">
        <v>361</v>
      </c>
    </row>
    <row r="3" spans="1:11" x14ac:dyDescent="0.25">
      <c r="C3" s="90" t="s">
        <v>297</v>
      </c>
      <c r="D3" s="90"/>
      <c r="G3" s="126"/>
    </row>
    <row r="4" spans="1:11" ht="25.15" customHeight="1" x14ac:dyDescent="0.2">
      <c r="A4" s="428"/>
      <c r="B4" s="428"/>
      <c r="C4" s="428"/>
      <c r="D4" s="428"/>
      <c r="E4" s="428"/>
      <c r="G4" s="126"/>
    </row>
    <row r="5" spans="1:11" x14ac:dyDescent="0.25">
      <c r="C5" s="90" t="s">
        <v>384</v>
      </c>
      <c r="D5" s="90"/>
      <c r="G5" s="126"/>
    </row>
    <row r="6" spans="1:11" ht="10.15" customHeight="1" x14ac:dyDescent="0.25">
      <c r="C6" s="90"/>
      <c r="D6" s="90"/>
      <c r="G6" s="126"/>
    </row>
    <row r="7" spans="1:11" ht="18.75" x14ac:dyDescent="0.25">
      <c r="A7" s="431" t="s">
        <v>224</v>
      </c>
      <c r="B7" s="431"/>
      <c r="C7" s="431"/>
      <c r="D7" s="431"/>
      <c r="E7" s="431"/>
      <c r="G7" s="126"/>
    </row>
    <row r="8" spans="1:11" ht="10.15" customHeight="1" x14ac:dyDescent="0.25">
      <c r="A8" s="70"/>
      <c r="G8" s="126"/>
    </row>
    <row r="9" spans="1:11" ht="45.6" customHeight="1" x14ac:dyDescent="0.25">
      <c r="A9" s="430" t="str">
        <f>Parametrai!C6</f>
        <v>Teikiamas pagal Raseinių rajono vietos veiklos grupės „Raseinių krašto bendrija“  vietos plėtros strategijos priemonės „Ekonominės rajono plėtros skatinimas, kuriant naujus verslus rajone“ rūšį „Ne žemės ūkio verslo plėtra“ , Nr. RASE-LEADER-20VVG-02-02</v>
      </c>
      <c r="B9" s="430"/>
      <c r="C9" s="430"/>
      <c r="D9" s="430"/>
      <c r="E9" s="430"/>
      <c r="G9" s="126"/>
    </row>
    <row r="10" spans="1:11" ht="10.15" customHeight="1" x14ac:dyDescent="0.25">
      <c r="A10" s="71"/>
      <c r="G10" s="126"/>
    </row>
    <row r="11" spans="1:11" s="77" customFormat="1" ht="14.85" customHeight="1" x14ac:dyDescent="0.25">
      <c r="A11" s="71"/>
      <c r="B11" s="75"/>
      <c r="C11" s="82"/>
      <c r="D11" s="75"/>
      <c r="E11" s="75"/>
      <c r="G11" s="126" t="str">
        <f>IF(C11="","Klaida! Įveskite datą.","ok")</f>
        <v>Klaida! Įveskite datą.</v>
      </c>
      <c r="H11" s="74"/>
      <c r="I11" s="74"/>
      <c r="J11" s="74"/>
      <c r="K11" s="74"/>
    </row>
    <row r="12" spans="1:11" s="77" customFormat="1" ht="14.85" customHeight="1" x14ac:dyDescent="0.25">
      <c r="A12" s="75"/>
      <c r="B12" s="75"/>
      <c r="C12" s="81" t="s">
        <v>294</v>
      </c>
      <c r="D12" s="75"/>
      <c r="E12" s="75"/>
      <c r="G12" s="126"/>
      <c r="H12" s="74"/>
      <c r="I12" s="74"/>
      <c r="J12" s="74"/>
      <c r="K12" s="74"/>
    </row>
    <row r="13" spans="1:11" s="77" customFormat="1" ht="15.75" x14ac:dyDescent="0.25">
      <c r="A13" s="71"/>
      <c r="B13" s="75"/>
      <c r="C13" s="83"/>
      <c r="D13" s="75"/>
      <c r="E13" s="75"/>
      <c r="G13" s="126"/>
      <c r="H13" s="74"/>
      <c r="I13" s="74"/>
      <c r="J13" s="74"/>
      <c r="K13" s="74"/>
    </row>
    <row r="14" spans="1:11" ht="15.75" x14ac:dyDescent="0.25">
      <c r="A14" s="71"/>
      <c r="C14" s="84" t="s">
        <v>295</v>
      </c>
      <c r="D14" s="81"/>
      <c r="G14" s="126"/>
    </row>
    <row r="15" spans="1:11" x14ac:dyDescent="0.25">
      <c r="A15" s="188" t="s">
        <v>0</v>
      </c>
      <c r="B15" s="426" t="s">
        <v>225</v>
      </c>
      <c r="C15" s="426"/>
      <c r="D15" s="426"/>
      <c r="E15" s="426"/>
      <c r="G15" s="126"/>
    </row>
    <row r="16" spans="1:11" x14ac:dyDescent="0.25">
      <c r="A16" s="189" t="s">
        <v>1</v>
      </c>
      <c r="B16" s="432" t="s">
        <v>238</v>
      </c>
      <c r="C16" s="432"/>
      <c r="D16" s="432"/>
      <c r="E16" s="432"/>
      <c r="G16" s="126"/>
    </row>
    <row r="17" spans="1:7" ht="19.149999999999999" customHeight="1" x14ac:dyDescent="0.25">
      <c r="A17" s="91" t="s">
        <v>2</v>
      </c>
      <c r="B17" s="76" t="s">
        <v>304</v>
      </c>
      <c r="C17" s="95"/>
      <c r="D17" s="433"/>
      <c r="E17" s="434"/>
      <c r="G17" s="126"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1" t="s">
        <v>229</v>
      </c>
      <c r="B18" s="76" t="s">
        <v>303</v>
      </c>
      <c r="C18" s="95"/>
      <c r="D18" s="435"/>
      <c r="E18" s="436"/>
      <c r="G18" s="126"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8" t="s">
        <v>231</v>
      </c>
      <c r="B19" s="100" t="s">
        <v>299</v>
      </c>
      <c r="C19" s="99" t="str">
        <f>IF(C17=0,"-",IFERROR(IF(DAY(C18) &lt; DAY(C17), 1 + DATEDIF(C17, C18, "M") + (DAY(C18) - DAY(C17) + 1) / DAY(EOMONTH(C17,0)),DATEDIF(C17, C18, "M") + (DAY(C18) - DAY(C17) + 1) / DAY(EOMONTH(C17,0))),"-"))</f>
        <v>-</v>
      </c>
      <c r="D19" s="437"/>
      <c r="E19" s="438"/>
      <c r="G19" s="126"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88" t="s">
        <v>3</v>
      </c>
      <c r="B20" s="427" t="s">
        <v>226</v>
      </c>
      <c r="C20" s="427"/>
      <c r="D20" s="427"/>
      <c r="E20" s="427"/>
      <c r="G20" s="126"/>
    </row>
    <row r="21" spans="1:7" ht="30" x14ac:dyDescent="0.25">
      <c r="A21" s="89" t="s">
        <v>234</v>
      </c>
      <c r="B21" s="89" t="s">
        <v>227</v>
      </c>
      <c r="C21" s="439" t="s">
        <v>228</v>
      </c>
      <c r="D21" s="440"/>
      <c r="E21" s="441"/>
      <c r="G21" s="126" t="s">
        <v>792</v>
      </c>
    </row>
    <row r="22" spans="1:7" ht="30" x14ac:dyDescent="0.25">
      <c r="A22" s="89" t="s">
        <v>235</v>
      </c>
      <c r="B22" s="89" t="s">
        <v>230</v>
      </c>
      <c r="C22" s="402" t="s">
        <v>228</v>
      </c>
      <c r="D22" s="403" t="str">
        <f>IF(C22="Verslo pradžia","Ūkio subjekto registravimo data","")</f>
        <v/>
      </c>
      <c r="E22" s="95"/>
      <c r="G22" s="126" t="str">
        <f>IF(LEN(C22)&lt;=2,"Pildoma pasirinkus reikšmę iš sąrašo",IF(AND(C22="Verslo pradžia",E22=""),"Klaida! Įveskite ūkio subjekto registravimo pradžią","ok"))</f>
        <v>Pildoma pasirinkus reikšmę iš sąrašo</v>
      </c>
    </row>
    <row r="23" spans="1:7" ht="14.65" customHeight="1" x14ac:dyDescent="0.25">
      <c r="A23" s="89" t="s">
        <v>4</v>
      </c>
      <c r="B23" s="89" t="s">
        <v>232</v>
      </c>
      <c r="C23" s="429" t="s">
        <v>228</v>
      </c>
      <c r="D23" s="429"/>
      <c r="E23" s="429"/>
      <c r="G23" s="126" t="s">
        <v>792</v>
      </c>
    </row>
    <row r="24" spans="1:7" x14ac:dyDescent="0.25">
      <c r="A24" s="89" t="s">
        <v>370</v>
      </c>
      <c r="B24" s="89" t="s">
        <v>233</v>
      </c>
      <c r="C24" s="429" t="s">
        <v>228</v>
      </c>
      <c r="D24" s="429"/>
      <c r="E24" s="429"/>
      <c r="G24" s="126" t="s">
        <v>307</v>
      </c>
    </row>
    <row r="25" spans="1:7" x14ac:dyDescent="0.25">
      <c r="A25" s="75" t="s">
        <v>371</v>
      </c>
      <c r="B25" s="75" t="s">
        <v>367</v>
      </c>
      <c r="C25" s="411" t="str" cm="1">
        <f t="array" ref="C25">IFERROR(_xlfn.UNIQUE(_xlfn._xlws.FILTER('4'!D:D, ('4'!$B:$B="Veiklos kodas ir pavadinimas pagal EVRK")*('4'!$D:$D&lt;&gt;"")))," –")</f>
        <v xml:space="preserve"> –</v>
      </c>
      <c r="D25" s="412"/>
      <c r="E25" s="412"/>
      <c r="G25" s="376" t="s">
        <v>785</v>
      </c>
    </row>
    <row r="26" spans="1:7" x14ac:dyDescent="0.25">
      <c r="C26" s="411"/>
      <c r="D26" s="412"/>
      <c r="E26" s="412"/>
      <c r="G26" s="126"/>
    </row>
    <row r="27" spans="1:7" x14ac:dyDescent="0.25">
      <c r="C27" s="411"/>
      <c r="D27" s="412"/>
      <c r="E27" s="412"/>
      <c r="G27" s="104"/>
    </row>
    <row r="28" spans="1:7" x14ac:dyDescent="0.25">
      <c r="C28" s="411"/>
      <c r="D28" s="413"/>
      <c r="E28" s="413"/>
      <c r="G28" s="104"/>
    </row>
    <row r="29" spans="1:7" x14ac:dyDescent="0.25">
      <c r="C29" s="411"/>
      <c r="D29" s="412"/>
      <c r="E29" s="412"/>
      <c r="G29" s="104"/>
    </row>
    <row r="30" spans="1:7" x14ac:dyDescent="0.25">
      <c r="C30" s="411"/>
      <c r="D30" s="412"/>
      <c r="E30" s="412"/>
      <c r="G30" s="104"/>
    </row>
    <row r="31" spans="1:7" x14ac:dyDescent="0.25">
      <c r="C31" s="411"/>
      <c r="D31" s="412"/>
      <c r="E31" s="412"/>
      <c r="G31" s="104"/>
    </row>
    <row r="32" spans="1:7" x14ac:dyDescent="0.25">
      <c r="C32" s="411"/>
      <c r="D32" s="412"/>
      <c r="E32" s="412"/>
      <c r="G32" s="104"/>
    </row>
    <row r="33" spans="3:7" x14ac:dyDescent="0.25">
      <c r="C33" s="411"/>
      <c r="D33" s="412"/>
      <c r="E33" s="412"/>
      <c r="G33" s="104"/>
    </row>
    <row r="34" spans="3:7" x14ac:dyDescent="0.25">
      <c r="C34" s="411"/>
      <c r="D34" s="412"/>
      <c r="E34" s="412"/>
      <c r="G34" s="104"/>
    </row>
    <row r="35" spans="3:7" x14ac:dyDescent="0.25">
      <c r="C35" s="74"/>
      <c r="D35" s="74"/>
      <c r="E35" s="74"/>
    </row>
    <row r="36" spans="3:7" x14ac:dyDescent="0.25">
      <c r="C36" s="74"/>
      <c r="D36" s="74"/>
      <c r="E36" s="74"/>
    </row>
  </sheetData>
  <sheetProtection algorithmName="SHA-512" hashValue="bepK42syrfJgjrSXtCPXTt2x+l+ZcOXTUMsL/ILaBTyYm7iX3zUQWuy6BKDQZcN6mCy2mvibwN/dWbkR2GICsA==" saltValue="khi2KWsx5otqadAL/JdU3w==" spinCount="100000" sheet="1" objects="1" scenarios="1"/>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130" zoomScaleNormal="130" workbookViewId="0">
      <selection activeCell="C22" sqref="C22:D22"/>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8" t="s">
        <v>7</v>
      </c>
      <c r="B1" s="442" t="s">
        <v>711</v>
      </c>
      <c r="C1" s="443"/>
      <c r="D1" s="443"/>
      <c r="E1" s="443"/>
      <c r="F1" s="443"/>
      <c r="G1" s="443"/>
      <c r="H1" s="443"/>
      <c r="I1" s="443"/>
      <c r="J1" s="443"/>
      <c r="K1" s="444"/>
      <c r="M1" s="86" t="s">
        <v>296</v>
      </c>
    </row>
    <row r="2" spans="1:13" s="74" customFormat="1" ht="144" customHeight="1" x14ac:dyDescent="0.25">
      <c r="A2" s="76" t="s">
        <v>247</v>
      </c>
      <c r="B2" s="76" t="s">
        <v>324</v>
      </c>
      <c r="C2" s="461"/>
      <c r="D2" s="461"/>
      <c r="E2" s="461"/>
      <c r="F2" s="461"/>
      <c r="G2" s="461"/>
      <c r="H2" s="461"/>
      <c r="I2" s="461"/>
      <c r="J2" s="461"/>
      <c r="K2" s="461"/>
      <c r="M2" s="385" t="s">
        <v>782</v>
      </c>
    </row>
    <row r="3" spans="1:13" s="74" customFormat="1" ht="144" customHeight="1" x14ac:dyDescent="0.25">
      <c r="A3" s="76" t="s">
        <v>248</v>
      </c>
      <c r="B3" s="76" t="s">
        <v>236</v>
      </c>
      <c r="C3" s="461"/>
      <c r="D3" s="461"/>
      <c r="E3" s="461"/>
      <c r="F3" s="461"/>
      <c r="G3" s="461"/>
      <c r="H3" s="461"/>
      <c r="I3" s="461"/>
      <c r="J3" s="461"/>
      <c r="K3" s="461"/>
      <c r="M3" s="186" t="s">
        <v>511</v>
      </c>
    </row>
    <row r="4" spans="1:13" s="74" customFormat="1" ht="9.6" customHeight="1" x14ac:dyDescent="0.25">
      <c r="M4" s="101"/>
    </row>
    <row r="5" spans="1:13" ht="30" customHeight="1" x14ac:dyDescent="0.25">
      <c r="A5" s="188" t="s">
        <v>8</v>
      </c>
      <c r="B5" s="468" t="s">
        <v>713</v>
      </c>
      <c r="C5" s="469"/>
      <c r="D5" s="469"/>
      <c r="E5" s="469"/>
      <c r="F5" s="469"/>
      <c r="G5" s="469"/>
      <c r="H5" s="469"/>
      <c r="I5" s="469"/>
      <c r="J5" s="469"/>
      <c r="K5" s="469"/>
      <c r="M5" s="101"/>
    </row>
    <row r="6" spans="1:13" ht="14.85" customHeight="1" x14ac:dyDescent="0.25">
      <c r="A6" s="188" t="s">
        <v>249</v>
      </c>
      <c r="B6" s="427" t="s">
        <v>325</v>
      </c>
      <c r="C6" s="427"/>
      <c r="D6" s="427"/>
      <c r="E6" s="427"/>
      <c r="F6" s="427"/>
      <c r="G6" s="427"/>
      <c r="H6" s="427"/>
      <c r="I6" s="427"/>
      <c r="J6" s="427"/>
      <c r="K6" s="427"/>
      <c r="M6" s="101"/>
    </row>
    <row r="7" spans="1:13" x14ac:dyDescent="0.25">
      <c r="A7" s="188" t="s">
        <v>293</v>
      </c>
      <c r="B7" s="460" t="s">
        <v>313</v>
      </c>
      <c r="C7" s="460"/>
      <c r="D7" s="460"/>
      <c r="E7" s="460"/>
      <c r="F7" s="460"/>
      <c r="G7" s="460"/>
      <c r="H7" s="460"/>
      <c r="I7" s="460"/>
      <c r="J7" s="460"/>
      <c r="K7" s="460"/>
      <c r="M7" s="97"/>
    </row>
    <row r="8" spans="1:13" ht="63" customHeight="1" x14ac:dyDescent="0.25">
      <c r="A8" s="471" t="s">
        <v>308</v>
      </c>
      <c r="B8" s="471"/>
      <c r="C8" s="471"/>
      <c r="D8" s="471"/>
      <c r="E8" s="471"/>
      <c r="F8" s="471"/>
      <c r="G8" s="471"/>
      <c r="H8" s="471"/>
      <c r="I8" s="471"/>
      <c r="J8" s="471"/>
      <c r="K8" s="471"/>
      <c r="M8" s="97"/>
    </row>
    <row r="9" spans="1:13" ht="30.6" customHeight="1" x14ac:dyDescent="0.25">
      <c r="A9" s="449" t="s">
        <v>22</v>
      </c>
      <c r="B9" s="451" t="s">
        <v>44</v>
      </c>
      <c r="C9" s="193" t="str">
        <f>IF(AND('1'!$C$22="Verslo pradžia",YEAR('1'!$E$22)=YEAR('1'!$C$11)),"Pradžios metai","Ataskaitiniai metai")</f>
        <v>Ataskaitiniai metai</v>
      </c>
      <c r="D9" s="453" t="s">
        <v>12</v>
      </c>
      <c r="E9" s="454"/>
      <c r="F9" s="454"/>
      <c r="G9" s="454"/>
      <c r="H9" s="454"/>
      <c r="I9" s="454"/>
      <c r="J9" s="454"/>
      <c r="K9" s="455"/>
      <c r="M9" s="97"/>
    </row>
    <row r="10" spans="1:13" ht="15.75" thickBot="1" x14ac:dyDescent="0.3">
      <c r="A10" s="450"/>
      <c r="B10" s="452"/>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f>IF(H9="Pradžios metai",YEAR('1'!$E$22),IF((YEAR('1'!$C$11)-1)+COUNT($B10:G10)&gt;YEAR('1'!$C$18)+Parametrai!$C$15,"-",(YEAR('1'!$C$11)-1)+COUNT($B10:G10)))</f>
        <v>1904</v>
      </c>
      <c r="I10" s="68">
        <f>IF(I9="Pradžios metai",YEAR('1'!$E$22),IF((YEAR('1'!$C$11)-1)+COUNT($B10:H10)&gt;YEAR('1'!$C$18)+Parametrai!$C$15,"-",(YEAR('1'!$C$11)-1)+COUNT($B10:H10)))</f>
        <v>1905</v>
      </c>
      <c r="J10" s="68" t="str">
        <f>IF(J9="Pradžios metai",YEAR('1'!$E$22),IF((YEAR('1'!$C$11)-1)+COUNT($B10:I10)&gt;YEAR('1'!$C$18)+Parametrai!$C$15,"-",(YEAR('1'!$C$11)-1)+COUNT($B10:I10)))</f>
        <v>-</v>
      </c>
      <c r="K10" s="68" t="str">
        <f>IF(K9="Pradžios metai",YEAR('1'!$E$22),IF((YEAR('1'!$C$11)-1)+COUNT($B10:J10)&gt;YEAR('1'!$C$18)+Parametrai!$C$15,"-",(YEAR('1'!$C$11)-1)+COUNT($B10:J10)))</f>
        <v>-</v>
      </c>
      <c r="M10" s="97"/>
    </row>
    <row r="11" spans="1:13" ht="30.75" thickTop="1" x14ac:dyDescent="0.25">
      <c r="A11" s="80" t="s">
        <v>326</v>
      </c>
      <c r="B11" s="80" t="s">
        <v>315</v>
      </c>
      <c r="C11" s="105"/>
      <c r="D11" s="105"/>
      <c r="E11" s="105"/>
      <c r="F11" s="105"/>
      <c r="G11" s="105"/>
      <c r="H11" s="105"/>
      <c r="I11" s="105"/>
      <c r="J11" s="105"/>
      <c r="K11" s="105"/>
      <c r="M11" s="97"/>
    </row>
    <row r="12" spans="1:13" ht="30" x14ac:dyDescent="0.25">
      <c r="A12" s="76" t="s">
        <v>329</v>
      </c>
      <c r="B12" s="76" t="s">
        <v>314</v>
      </c>
      <c r="C12" s="87" t="str">
        <f>IFERROR(C13/C11,"-")</f>
        <v>-</v>
      </c>
      <c r="D12" s="102"/>
      <c r="E12" s="102"/>
      <c r="F12" s="102"/>
      <c r="G12" s="102"/>
      <c r="H12" s="102"/>
      <c r="I12" s="102"/>
      <c r="J12" s="102"/>
      <c r="K12" s="102"/>
      <c r="M12" s="97"/>
    </row>
    <row r="13" spans="1:13" ht="36" x14ac:dyDescent="0.25">
      <c r="A13" s="76" t="s">
        <v>330</v>
      </c>
      <c r="B13" s="76" t="s">
        <v>316</v>
      </c>
      <c r="C13" s="102"/>
      <c r="D13" s="103">
        <f>D11*D12</f>
        <v>0</v>
      </c>
      <c r="E13" s="103">
        <f t="shared" ref="E13:K13" si="0">E11*E12</f>
        <v>0</v>
      </c>
      <c r="F13" s="103">
        <f t="shared" si="0"/>
        <v>0</v>
      </c>
      <c r="G13" s="103">
        <f t="shared" si="0"/>
        <v>0</v>
      </c>
      <c r="H13" s="103">
        <f t="shared" si="0"/>
        <v>0</v>
      </c>
      <c r="I13" s="103">
        <f t="shared" si="0"/>
        <v>0</v>
      </c>
      <c r="J13" s="103">
        <f t="shared" si="0"/>
        <v>0</v>
      </c>
      <c r="K13" s="103">
        <f t="shared" si="0"/>
        <v>0</v>
      </c>
      <c r="M13" s="97" t="s">
        <v>512</v>
      </c>
    </row>
    <row r="14" spans="1:13" ht="45.75" thickBot="1" x14ac:dyDescent="0.3">
      <c r="A14" s="100" t="s">
        <v>331</v>
      </c>
      <c r="B14" s="100" t="s">
        <v>328</v>
      </c>
      <c r="C14" s="470"/>
      <c r="D14" s="470"/>
      <c r="E14" s="470"/>
      <c r="F14" s="470"/>
      <c r="G14" s="470"/>
      <c r="H14" s="470"/>
      <c r="I14" s="470"/>
      <c r="J14" s="470"/>
      <c r="K14" s="470"/>
      <c r="M14" s="104" t="s">
        <v>327</v>
      </c>
    </row>
    <row r="15" spans="1:13" ht="7.15" customHeight="1" thickTop="1" x14ac:dyDescent="0.25">
      <c r="B15" s="78"/>
      <c r="M15" s="97"/>
    </row>
    <row r="16" spans="1:13" ht="14.85" customHeight="1" x14ac:dyDescent="0.25">
      <c r="A16" s="188" t="s">
        <v>332</v>
      </c>
      <c r="B16" s="460" t="s">
        <v>322</v>
      </c>
      <c r="C16" s="460"/>
      <c r="D16" s="460"/>
      <c r="E16" s="460"/>
      <c r="F16" s="460"/>
      <c r="G16" s="460"/>
      <c r="H16" s="460"/>
      <c r="I16" s="460"/>
      <c r="J16" s="460"/>
      <c r="K16" s="460"/>
      <c r="M16" s="97"/>
    </row>
    <row r="17" spans="1:13" ht="40.9" customHeight="1" x14ac:dyDescent="0.25">
      <c r="A17" s="445" t="s">
        <v>323</v>
      </c>
      <c r="B17" s="445"/>
      <c r="C17" s="445"/>
      <c r="D17" s="445"/>
      <c r="E17" s="445"/>
      <c r="F17" s="445"/>
      <c r="G17" s="445"/>
      <c r="H17" s="445"/>
      <c r="I17" s="445"/>
      <c r="J17" s="445"/>
      <c r="K17" s="445"/>
      <c r="M17" s="97"/>
    </row>
    <row r="18" spans="1:13" ht="52.15" customHeight="1" thickBot="1" x14ac:dyDescent="0.3">
      <c r="A18" s="190" t="s">
        <v>22</v>
      </c>
      <c r="B18" s="191" t="s">
        <v>312</v>
      </c>
      <c r="C18" s="463" t="s">
        <v>311</v>
      </c>
      <c r="D18" s="463"/>
      <c r="E18" s="463" t="s">
        <v>317</v>
      </c>
      <c r="F18" s="463"/>
      <c r="G18" s="191" t="s">
        <v>321</v>
      </c>
      <c r="H18" s="463" t="s">
        <v>309</v>
      </c>
      <c r="I18" s="463"/>
      <c r="J18" s="447" t="s">
        <v>310</v>
      </c>
      <c r="K18" s="448"/>
      <c r="M18" s="97"/>
    </row>
    <row r="19" spans="1:13" ht="24.75" thickTop="1" x14ac:dyDescent="0.25">
      <c r="A19" s="395" t="s">
        <v>333</v>
      </c>
      <c r="B19" s="389"/>
      <c r="C19" s="466" t="s">
        <v>228</v>
      </c>
      <c r="D19" s="466"/>
      <c r="E19" s="464"/>
      <c r="F19" s="464"/>
      <c r="G19" s="392"/>
      <c r="H19" s="456"/>
      <c r="I19" s="457"/>
      <c r="J19" s="475"/>
      <c r="K19" s="475"/>
      <c r="M19" s="97" t="s">
        <v>976</v>
      </c>
    </row>
    <row r="20" spans="1:13" x14ac:dyDescent="0.25">
      <c r="A20" s="395" t="s">
        <v>334</v>
      </c>
      <c r="B20" s="390"/>
      <c r="C20" s="446" t="s">
        <v>228</v>
      </c>
      <c r="D20" s="446"/>
      <c r="E20" s="465"/>
      <c r="F20" s="465"/>
      <c r="G20" s="393"/>
      <c r="H20" s="458"/>
      <c r="I20" s="459"/>
      <c r="J20" s="476"/>
      <c r="K20" s="476"/>
      <c r="M20" s="97"/>
    </row>
    <row r="21" spans="1:13" x14ac:dyDescent="0.25">
      <c r="A21" s="395" t="s">
        <v>335</v>
      </c>
      <c r="B21" s="390"/>
      <c r="C21" s="446" t="s">
        <v>228</v>
      </c>
      <c r="D21" s="446"/>
      <c r="E21" s="465"/>
      <c r="F21" s="465"/>
      <c r="G21" s="393"/>
      <c r="H21" s="458"/>
      <c r="I21" s="459"/>
      <c r="J21" s="476"/>
      <c r="K21" s="476"/>
      <c r="M21" s="97"/>
    </row>
    <row r="22" spans="1:13" x14ac:dyDescent="0.25">
      <c r="A22" s="395" t="s">
        <v>336</v>
      </c>
      <c r="B22" s="390"/>
      <c r="C22" s="446" t="s">
        <v>228</v>
      </c>
      <c r="D22" s="446"/>
      <c r="E22" s="465"/>
      <c r="F22" s="465"/>
      <c r="G22" s="393"/>
      <c r="H22" s="458"/>
      <c r="I22" s="459"/>
      <c r="J22" s="476"/>
      <c r="K22" s="476"/>
      <c r="M22" s="97"/>
    </row>
    <row r="23" spans="1:13" x14ac:dyDescent="0.25">
      <c r="A23" s="395" t="s">
        <v>337</v>
      </c>
      <c r="B23" s="390"/>
      <c r="C23" s="446" t="s">
        <v>228</v>
      </c>
      <c r="D23" s="446"/>
      <c r="E23" s="465"/>
      <c r="F23" s="465"/>
      <c r="G23" s="393"/>
      <c r="H23" s="458"/>
      <c r="I23" s="459"/>
      <c r="J23" s="476"/>
      <c r="K23" s="476"/>
      <c r="M23" s="97"/>
    </row>
    <row r="24" spans="1:13" x14ac:dyDescent="0.25">
      <c r="A24" s="395" t="s">
        <v>338</v>
      </c>
      <c r="B24" s="390"/>
      <c r="C24" s="446" t="s">
        <v>228</v>
      </c>
      <c r="D24" s="446"/>
      <c r="E24" s="465"/>
      <c r="F24" s="465"/>
      <c r="G24" s="393"/>
      <c r="H24" s="458"/>
      <c r="I24" s="459"/>
      <c r="J24" s="476"/>
      <c r="K24" s="476"/>
      <c r="M24" s="97"/>
    </row>
    <row r="25" spans="1:13" ht="15.75" thickBot="1" x14ac:dyDescent="0.3">
      <c r="A25" s="396" t="s">
        <v>339</v>
      </c>
      <c r="B25" s="391"/>
      <c r="C25" s="462" t="s">
        <v>228</v>
      </c>
      <c r="D25" s="462"/>
      <c r="E25" s="467"/>
      <c r="F25" s="467"/>
      <c r="G25" s="394"/>
      <c r="H25" s="472"/>
      <c r="I25" s="473"/>
      <c r="J25" s="474"/>
      <c r="K25" s="474"/>
      <c r="M25" s="97"/>
    </row>
    <row r="26" spans="1:13" ht="15.75" thickTop="1" x14ac:dyDescent="0.25">
      <c r="A26" s="78"/>
      <c r="B26" s="78"/>
      <c r="C26" s="78"/>
      <c r="D26" s="78"/>
      <c r="M26" s="101"/>
    </row>
    <row r="27" spans="1:13" x14ac:dyDescent="0.25">
      <c r="A27" s="188" t="s">
        <v>344</v>
      </c>
      <c r="B27" s="442" t="s">
        <v>306</v>
      </c>
      <c r="C27" s="443"/>
      <c r="D27" s="443"/>
      <c r="E27" s="443"/>
      <c r="F27" s="443"/>
      <c r="G27" s="443"/>
      <c r="H27" s="443"/>
      <c r="I27" s="443"/>
      <c r="J27" s="443"/>
      <c r="K27" s="444"/>
      <c r="M27" s="101"/>
    </row>
    <row r="28" spans="1:13" ht="144" customHeight="1" x14ac:dyDescent="0.25">
      <c r="A28" s="76" t="s">
        <v>345</v>
      </c>
      <c r="B28" s="110" t="s">
        <v>348</v>
      </c>
      <c r="C28" s="461"/>
      <c r="D28" s="461"/>
      <c r="E28" s="461"/>
      <c r="F28" s="461"/>
      <c r="G28" s="461"/>
      <c r="H28" s="461"/>
      <c r="I28" s="461"/>
      <c r="J28" s="461"/>
      <c r="K28" s="461"/>
      <c r="M28" s="186" t="s">
        <v>421</v>
      </c>
    </row>
    <row r="29" spans="1:13" ht="144" customHeight="1" x14ac:dyDescent="0.25">
      <c r="A29" s="76" t="s">
        <v>346</v>
      </c>
      <c r="B29" s="110" t="s">
        <v>347</v>
      </c>
      <c r="C29" s="461"/>
      <c r="D29" s="461"/>
      <c r="E29" s="461"/>
      <c r="F29" s="461"/>
      <c r="G29" s="461"/>
      <c r="H29" s="461"/>
      <c r="I29" s="461"/>
      <c r="J29" s="461"/>
      <c r="K29" s="461"/>
      <c r="M29" s="187" t="s">
        <v>422</v>
      </c>
    </row>
  </sheetData>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tabSelected="1" zoomScale="110" zoomScaleNormal="110" workbookViewId="0">
      <pane xSplit="3" ySplit="5" topLeftCell="D6" activePane="bottomRight" state="frozen"/>
      <selection pane="topRight" activeCell="D1" sqref="D1"/>
      <selection pane="bottomLeft" activeCell="A6" sqref="A6"/>
      <selection pane="bottomRight" activeCell="D16" sqref="D16:L16"/>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4" t="s">
        <v>296</v>
      </c>
      <c r="O1" s="116" t="s">
        <v>377</v>
      </c>
      <c r="P1" s="116" t="s">
        <v>378</v>
      </c>
      <c r="Q1" s="116">
        <v>1</v>
      </c>
      <c r="R1" s="116">
        <v>2</v>
      </c>
      <c r="S1" s="133">
        <v>3</v>
      </c>
      <c r="T1" s="131"/>
    </row>
    <row r="2" spans="1:20" s="7" customFormat="1" ht="14.25" x14ac:dyDescent="0.25">
      <c r="A2" s="192" t="s">
        <v>101</v>
      </c>
      <c r="B2" s="489" t="s">
        <v>38</v>
      </c>
      <c r="C2" s="489"/>
      <c r="D2" s="489"/>
      <c r="E2" s="489"/>
      <c r="F2" s="489"/>
      <c r="G2" s="489"/>
      <c r="H2" s="489"/>
      <c r="I2" s="489"/>
      <c r="J2" s="489"/>
      <c r="K2" s="489"/>
      <c r="L2" s="489"/>
      <c r="M2" s="6"/>
      <c r="N2" s="175"/>
      <c r="O2" s="115"/>
      <c r="P2" s="116"/>
      <c r="Q2" s="115"/>
      <c r="R2" s="115"/>
      <c r="S2" s="115"/>
      <c r="T2" s="132"/>
    </row>
    <row r="3" spans="1:20" x14ac:dyDescent="0.25">
      <c r="N3" s="175"/>
      <c r="O3" s="116"/>
      <c r="P3" s="116"/>
      <c r="Q3" s="115"/>
      <c r="R3" s="116"/>
      <c r="S3" s="133"/>
      <c r="T3" s="131"/>
    </row>
    <row r="4" spans="1:20" ht="24" x14ac:dyDescent="0.25">
      <c r="A4" s="490" t="s">
        <v>10</v>
      </c>
      <c r="B4" s="491"/>
      <c r="C4" s="494" t="s">
        <v>11</v>
      </c>
      <c r="D4" s="193" t="str">
        <f>IF(AND('1'!$C$22="Verslo pradžia",YEAR('1'!$E$22)=YEAR('1'!$C$11)),"Pradžios metai","Ataskaitiniai metai")</f>
        <v>Ataskaitiniai metai</v>
      </c>
      <c r="E4" s="453" t="s">
        <v>12</v>
      </c>
      <c r="F4" s="454"/>
      <c r="G4" s="454"/>
      <c r="H4" s="454"/>
      <c r="I4" s="454"/>
      <c r="J4" s="454"/>
      <c r="K4" s="454"/>
      <c r="L4" s="455"/>
      <c r="M4" s="12"/>
      <c r="N4" s="175"/>
      <c r="O4" s="116"/>
      <c r="P4" s="116"/>
      <c r="Q4" s="115"/>
      <c r="R4" s="116"/>
      <c r="S4" s="133"/>
      <c r="T4" s="131"/>
    </row>
    <row r="5" spans="1:20" ht="15.75" thickBot="1" x14ac:dyDescent="0.3">
      <c r="A5" s="492"/>
      <c r="B5" s="493"/>
      <c r="C5" s="495"/>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f>IF(I4="Pradžios metai",YEAR('1'!$E$22),IF((YEAR('1'!$C$11)-1)+COUNT($C5:H5)&gt;YEAR('1'!$C$18)+Parametrai!$C$15,"-",(YEAR('1'!$C$11)-1)+COUNT($C5:H5)))</f>
        <v>1904</v>
      </c>
      <c r="J5" s="68">
        <f>IF(J4="Pradžios metai",YEAR('1'!$E$22),IF((YEAR('1'!$C$11)-1)+COUNT($C5:I5)&gt;YEAR('1'!$C$18)+Parametrai!$C$15,"-",(YEAR('1'!$C$11)-1)+COUNT($C5:I5)))</f>
        <v>1905</v>
      </c>
      <c r="K5" s="68" t="str">
        <f>IF(K4="Pradžios metai",YEAR('1'!$E$22),IF((YEAR('1'!$C$11)-1)+COUNT($C5:J5)&gt;YEAR('1'!$C$18)+Parametrai!$C$15,"-",(YEAR('1'!$C$11)-1)+COUNT($C5:J5)))</f>
        <v>-</v>
      </c>
      <c r="L5" s="68" t="str">
        <f>IF(L4="Pradžios metai",YEAR('1'!$E$22),IF((YEAR('1'!$C$11)-1)+COUNT($C5:K5)&gt;YEAR('1'!$C$18)+Parametrai!$C$15,"-",(YEAR('1'!$C$11)-1)+COUNT($C5:K5)))</f>
        <v>-</v>
      </c>
      <c r="N5" s="175"/>
      <c r="O5" s="116"/>
      <c r="P5" s="139">
        <v>4</v>
      </c>
      <c r="Q5" s="115"/>
      <c r="R5" s="116"/>
      <c r="S5" s="133"/>
      <c r="T5" s="131"/>
    </row>
    <row r="6" spans="1:20" ht="15.75" thickTop="1" x14ac:dyDescent="0.25">
      <c r="A6" s="272" t="str">
        <f>_xlfn.CONCAT($P6, ".", $Q6, IF($R6&lt;&gt;"", _xlfn.CONCAT(".", $R6), ""), ".")</f>
        <v>4.1.</v>
      </c>
      <c r="B6" s="272" t="s">
        <v>14</v>
      </c>
      <c r="C6" s="273" t="s">
        <v>15</v>
      </c>
      <c r="D6" s="274">
        <f>SUM(D7:D9)</f>
        <v>0</v>
      </c>
      <c r="E6" s="274">
        <f t="shared" ref="E6:L6" si="0">SUM(E7:E9)</f>
        <v>0</v>
      </c>
      <c r="F6" s="274">
        <f t="shared" si="0"/>
        <v>0</v>
      </c>
      <c r="G6" s="274">
        <f t="shared" si="0"/>
        <v>0</v>
      </c>
      <c r="H6" s="274">
        <f t="shared" si="0"/>
        <v>0</v>
      </c>
      <c r="I6" s="274">
        <f t="shared" si="0"/>
        <v>0</v>
      </c>
      <c r="J6" s="274">
        <f t="shared" si="0"/>
        <v>0</v>
      </c>
      <c r="K6" s="274">
        <f t="shared" si="0"/>
        <v>0</v>
      </c>
      <c r="L6" s="274">
        <f t="shared" si="0"/>
        <v>0</v>
      </c>
      <c r="N6" s="175"/>
      <c r="O6" s="134">
        <v>1</v>
      </c>
      <c r="P6" s="116">
        <f>+P5</f>
        <v>4</v>
      </c>
      <c r="Q6" s="116">
        <f>COUNTIFS($O$1:$O6,1)</f>
        <v>1</v>
      </c>
      <c r="R6" s="116" t="str">
        <f>IF($O6=$R$1,IF($O6&lt;&gt;$O5, 1, R5+1),"")</f>
        <v/>
      </c>
      <c r="S6" s="116"/>
      <c r="T6" s="131" t="str">
        <f>CONCATENATE($P6, ".", $Q6, IF($R6&lt;&gt;"", CONCATENATE(".", $R6), ""), ".")</f>
        <v>4.1.</v>
      </c>
    </row>
    <row r="7" spans="1:20" x14ac:dyDescent="0.25">
      <c r="A7" s="195" t="str">
        <f>_xlfn.CONCAT($P7, ".", $Q7, IF($R7&lt;&gt;"", _xlfn.CONCAT(".", $R7), ""), ".")</f>
        <v>4.1.1.</v>
      </c>
      <c r="B7" s="196" t="s">
        <v>362</v>
      </c>
      <c r="C7" s="197" t="s">
        <v>15</v>
      </c>
      <c r="D7" s="248">
        <f t="shared" ref="D7:L7" si="1">SUMIFS(D:D,$B:$B,"Pajamos (gamyba)")</f>
        <v>0</v>
      </c>
      <c r="E7" s="248">
        <f t="shared" si="1"/>
        <v>0</v>
      </c>
      <c r="F7" s="248">
        <f t="shared" si="1"/>
        <v>0</v>
      </c>
      <c r="G7" s="248">
        <f t="shared" si="1"/>
        <v>0</v>
      </c>
      <c r="H7" s="248">
        <f t="shared" si="1"/>
        <v>0</v>
      </c>
      <c r="I7" s="248">
        <f t="shared" si="1"/>
        <v>0</v>
      </c>
      <c r="J7" s="248">
        <f t="shared" si="1"/>
        <v>0</v>
      </c>
      <c r="K7" s="248">
        <f t="shared" si="1"/>
        <v>0</v>
      </c>
      <c r="L7" s="248">
        <f t="shared" si="1"/>
        <v>0</v>
      </c>
      <c r="N7" s="175"/>
      <c r="O7" s="134">
        <v>2</v>
      </c>
      <c r="P7" s="116">
        <f>+P6</f>
        <v>4</v>
      </c>
      <c r="Q7" s="116">
        <f>COUNTIFS($O$1:$O7,1)</f>
        <v>1</v>
      </c>
      <c r="R7" s="116">
        <f t="shared" ref="R7:R16" si="2">IF($O7=$R$1,IF($O7&lt;&gt;$O6, 1, R6+1),"")</f>
        <v>1</v>
      </c>
      <c r="S7" s="116"/>
      <c r="T7" s="131" t="str">
        <f t="shared" ref="T7:T70" si="3">CONCATENATE($P7, ".", $Q7, IF($R7&lt;&gt;"", CONCATENATE(".", $R7), ""), ".")</f>
        <v>4.1.1.</v>
      </c>
    </row>
    <row r="8" spans="1:20" x14ac:dyDescent="0.25">
      <c r="A8" s="195" t="str">
        <f>_xlfn.CONCAT($P8, ".", $Q8, IF($R8&lt;&gt;"", _xlfn.CONCAT(".", $R8), ""), ".")</f>
        <v>4.1.2.</v>
      </c>
      <c r="B8" s="196" t="s">
        <v>363</v>
      </c>
      <c r="C8" s="197" t="s">
        <v>15</v>
      </c>
      <c r="D8" s="249">
        <f t="shared" ref="D8:L8" si="4">SUMIFS(D:D,$B:$B,"Pajamos (paslaugos)")</f>
        <v>0</v>
      </c>
      <c r="E8" s="249">
        <f t="shared" si="4"/>
        <v>0</v>
      </c>
      <c r="F8" s="249">
        <f t="shared" si="4"/>
        <v>0</v>
      </c>
      <c r="G8" s="249">
        <f t="shared" si="4"/>
        <v>0</v>
      </c>
      <c r="H8" s="249">
        <f t="shared" si="4"/>
        <v>0</v>
      </c>
      <c r="I8" s="249">
        <f t="shared" si="4"/>
        <v>0</v>
      </c>
      <c r="J8" s="249">
        <f t="shared" si="4"/>
        <v>0</v>
      </c>
      <c r="K8" s="249">
        <f t="shared" si="4"/>
        <v>0</v>
      </c>
      <c r="L8" s="249">
        <f t="shared" si="4"/>
        <v>0</v>
      </c>
      <c r="N8" s="175"/>
      <c r="O8" s="134">
        <v>2</v>
      </c>
      <c r="P8" s="116">
        <f t="shared" ref="P8:P16" si="5">+P7</f>
        <v>4</v>
      </c>
      <c r="Q8" s="116">
        <f>COUNTIFS($O$1:$O8,1)</f>
        <v>1</v>
      </c>
      <c r="R8" s="116">
        <f t="shared" si="2"/>
        <v>2</v>
      </c>
      <c r="S8" s="116"/>
      <c r="T8" s="131" t="str">
        <f t="shared" si="3"/>
        <v>4.1.2.</v>
      </c>
    </row>
    <row r="9" spans="1:20" ht="15.75" thickBot="1" x14ac:dyDescent="0.3">
      <c r="A9" s="198" t="str">
        <f>_xlfn.CONCAT($P9, ".", $Q9, IF($R9&lt;&gt;"", _xlfn.CONCAT(".", $R9), ""), ".")</f>
        <v>4.1.3.</v>
      </c>
      <c r="B9" s="199" t="s">
        <v>364</v>
      </c>
      <c r="C9" s="200" t="s">
        <v>15</v>
      </c>
      <c r="D9" s="250">
        <f t="shared" ref="D9:L9" si="6">SUMIFS(D:D,$B:$B,"Pajamos (kita veikla)")</f>
        <v>0</v>
      </c>
      <c r="E9" s="250">
        <f t="shared" si="6"/>
        <v>0</v>
      </c>
      <c r="F9" s="250">
        <f t="shared" si="6"/>
        <v>0</v>
      </c>
      <c r="G9" s="250">
        <f t="shared" si="6"/>
        <v>0</v>
      </c>
      <c r="H9" s="250">
        <f t="shared" si="6"/>
        <v>0</v>
      </c>
      <c r="I9" s="250">
        <f t="shared" si="6"/>
        <v>0</v>
      </c>
      <c r="J9" s="250">
        <f t="shared" si="6"/>
        <v>0</v>
      </c>
      <c r="K9" s="250">
        <f t="shared" si="6"/>
        <v>0</v>
      </c>
      <c r="L9" s="250">
        <f t="shared" si="6"/>
        <v>0</v>
      </c>
      <c r="N9" s="175"/>
      <c r="O9" s="134">
        <v>2</v>
      </c>
      <c r="P9" s="116">
        <f t="shared" si="5"/>
        <v>4</v>
      </c>
      <c r="Q9" s="116">
        <f>COUNTIFS($O$1:$O9,1)</f>
        <v>1</v>
      </c>
      <c r="R9" s="116">
        <f t="shared" si="2"/>
        <v>3</v>
      </c>
      <c r="S9" s="116"/>
      <c r="T9" s="131" t="str">
        <f t="shared" si="3"/>
        <v>4.1.3.</v>
      </c>
    </row>
    <row r="10" spans="1:20" ht="15.75" thickTop="1" x14ac:dyDescent="0.25">
      <c r="A10" s="66" t="str">
        <f>CONCATENATE($P10, ".", $Q10, IF($R10&lt;&gt;"", CONCATENATE(".", $R10), ""), ".")</f>
        <v>4.2.</v>
      </c>
      <c r="B10" s="271" t="s">
        <v>374</v>
      </c>
      <c r="C10" s="128"/>
      <c r="D10" s="496"/>
      <c r="E10" s="496"/>
      <c r="F10" s="496"/>
      <c r="G10" s="496"/>
      <c r="H10" s="496"/>
      <c r="I10" s="496"/>
      <c r="J10" s="496"/>
      <c r="K10" s="496"/>
      <c r="L10" s="496"/>
      <c r="N10" s="175" t="s">
        <v>365</v>
      </c>
      <c r="O10" s="134">
        <v>1</v>
      </c>
      <c r="P10" s="116">
        <f t="shared" si="5"/>
        <v>4</v>
      </c>
      <c r="Q10" s="116">
        <f>COUNTIFS($O$1:$O10,1)</f>
        <v>2</v>
      </c>
      <c r="R10" s="116" t="str">
        <f t="shared" si="2"/>
        <v/>
      </c>
      <c r="S10" s="116"/>
      <c r="T10" s="131" t="str">
        <f t="shared" si="3"/>
        <v>4.2.</v>
      </c>
    </row>
    <row r="11" spans="1:20" x14ac:dyDescent="0.25">
      <c r="A11" s="56" t="str">
        <f>CONCATENATE($P11, ".", $Q11, IF($R11&lt;&gt;"", CONCATENATE(".", $R11), ""), ".")</f>
        <v>4.2.1.</v>
      </c>
      <c r="B11" s="136" t="s">
        <v>368</v>
      </c>
      <c r="C11" s="127"/>
      <c r="D11" s="483"/>
      <c r="E11" s="483"/>
      <c r="F11" s="483"/>
      <c r="G11" s="483"/>
      <c r="H11" s="483"/>
      <c r="I11" s="483"/>
      <c r="J11" s="483"/>
      <c r="K11" s="483"/>
      <c r="L11" s="483"/>
      <c r="N11" s="175" t="s">
        <v>423</v>
      </c>
      <c r="O11" s="134">
        <v>2</v>
      </c>
      <c r="P11" s="116">
        <f t="shared" si="5"/>
        <v>4</v>
      </c>
      <c r="Q11" s="116">
        <f>COUNTIFS($O$1:$O11,1)</f>
        <v>2</v>
      </c>
      <c r="R11" s="116">
        <f t="shared" si="2"/>
        <v>1</v>
      </c>
      <c r="S11" s="116"/>
      <c r="T11" s="131" t="str">
        <f t="shared" si="3"/>
        <v>4.2.1.</v>
      </c>
    </row>
    <row r="12" spans="1:20" x14ac:dyDescent="0.25">
      <c r="A12" s="56" t="str">
        <f t="shared" ref="A12:A75" si="7">CONCATENATE($P12, ".", $Q12, IF($R12&lt;&gt;"", CONCATENATE(".", $R12), ""), ".")</f>
        <v>4.2.2.</v>
      </c>
      <c r="B12" s="22" t="s">
        <v>17</v>
      </c>
      <c r="C12" s="277" t="s">
        <v>20</v>
      </c>
      <c r="D12" s="24"/>
      <c r="E12" s="24"/>
      <c r="F12" s="24"/>
      <c r="G12" s="24"/>
      <c r="H12" s="24"/>
      <c r="I12" s="24"/>
      <c r="J12" s="24"/>
      <c r="K12" s="24"/>
      <c r="L12" s="24"/>
      <c r="N12" s="176" t="s">
        <v>424</v>
      </c>
      <c r="O12" s="134">
        <v>2</v>
      </c>
      <c r="P12" s="116">
        <f t="shared" si="5"/>
        <v>4</v>
      </c>
      <c r="Q12" s="116">
        <f>COUNTIFS($O$1:$O12,1)</f>
        <v>2</v>
      </c>
      <c r="R12" s="116">
        <f t="shared" si="2"/>
        <v>2</v>
      </c>
      <c r="S12" s="116"/>
      <c r="T12" s="131" t="str">
        <f t="shared" si="3"/>
        <v>4.2.2.</v>
      </c>
    </row>
    <row r="13" spans="1:20" x14ac:dyDescent="0.25">
      <c r="A13" s="56" t="str">
        <f t="shared" si="7"/>
        <v>4.2.3.</v>
      </c>
      <c r="B13" s="22" t="s">
        <v>18</v>
      </c>
      <c r="C13" s="69" t="str">
        <f>+C12</f>
        <v>vnt.</v>
      </c>
      <c r="D13" s="24"/>
      <c r="E13" s="24"/>
      <c r="F13" s="24"/>
      <c r="G13" s="24"/>
      <c r="H13" s="24"/>
      <c r="I13" s="24"/>
      <c r="J13" s="24"/>
      <c r="K13" s="24"/>
      <c r="L13" s="24"/>
      <c r="N13" s="175" t="s">
        <v>425</v>
      </c>
      <c r="O13" s="134">
        <v>2</v>
      </c>
      <c r="P13" s="116">
        <f t="shared" si="5"/>
        <v>4</v>
      </c>
      <c r="Q13" s="116">
        <f>COUNTIFS($O$1:$O13,1)</f>
        <v>2</v>
      </c>
      <c r="R13" s="116">
        <f t="shared" si="2"/>
        <v>3</v>
      </c>
      <c r="S13" s="116"/>
      <c r="T13" s="131" t="str">
        <f t="shared" si="3"/>
        <v>4.2.3.</v>
      </c>
    </row>
    <row r="14" spans="1:20" x14ac:dyDescent="0.25">
      <c r="A14" s="56" t="str">
        <f t="shared" si="7"/>
        <v>4.2.4.</v>
      </c>
      <c r="B14" s="22" t="s">
        <v>19</v>
      </c>
      <c r="C14" s="14" t="str">
        <f>CONCATENATE("Eur/",C13)</f>
        <v>Eur/vnt.</v>
      </c>
      <c r="D14" s="275" t="str">
        <f>IFERROR(ROUND(D15/D13,2),"-")</f>
        <v>-</v>
      </c>
      <c r="E14" s="137"/>
      <c r="F14" s="137"/>
      <c r="G14" s="137"/>
      <c r="H14" s="137"/>
      <c r="I14" s="137"/>
      <c r="J14" s="137"/>
      <c r="K14" s="137"/>
      <c r="L14" s="137"/>
      <c r="N14" s="175" t="s">
        <v>426</v>
      </c>
      <c r="O14" s="134">
        <v>2</v>
      </c>
      <c r="P14" s="116">
        <f t="shared" si="5"/>
        <v>4</v>
      </c>
      <c r="Q14" s="116">
        <f>COUNTIFS($O$1:$O14,1)</f>
        <v>2</v>
      </c>
      <c r="R14" s="116">
        <f t="shared" si="2"/>
        <v>4</v>
      </c>
      <c r="S14" s="116"/>
      <c r="T14" s="131" t="str">
        <f t="shared" si="3"/>
        <v>4.2.4.</v>
      </c>
    </row>
    <row r="15" spans="1:20" x14ac:dyDescent="0.25">
      <c r="A15" s="56" t="str">
        <f t="shared" si="7"/>
        <v>4.2.5.</v>
      </c>
      <c r="B15" s="22" t="s">
        <v>369</v>
      </c>
      <c r="C15" s="14" t="s">
        <v>15</v>
      </c>
      <c r="D15" s="24"/>
      <c r="E15" s="276">
        <f t="shared" ref="E15:L15" si="8">ROUND(E13*E14,0)</f>
        <v>0</v>
      </c>
      <c r="F15" s="276">
        <f t="shared" si="8"/>
        <v>0</v>
      </c>
      <c r="G15" s="276">
        <f t="shared" si="8"/>
        <v>0</v>
      </c>
      <c r="H15" s="276">
        <f t="shared" si="8"/>
        <v>0</v>
      </c>
      <c r="I15" s="276">
        <f t="shared" si="8"/>
        <v>0</v>
      </c>
      <c r="J15" s="276">
        <f t="shared" si="8"/>
        <v>0</v>
      </c>
      <c r="K15" s="276">
        <f t="shared" si="8"/>
        <v>0</v>
      </c>
      <c r="L15" s="276">
        <f t="shared" si="8"/>
        <v>0</v>
      </c>
      <c r="N15" s="175"/>
      <c r="O15" s="134">
        <v>2</v>
      </c>
      <c r="P15" s="116">
        <f t="shared" si="5"/>
        <v>4</v>
      </c>
      <c r="Q15" s="116">
        <f>COUNTIFS($O$1:$O15,1)</f>
        <v>2</v>
      </c>
      <c r="R15" s="116">
        <f t="shared" si="2"/>
        <v>5</v>
      </c>
      <c r="S15" s="116"/>
      <c r="T15" s="131" t="str">
        <f t="shared" si="3"/>
        <v>4.2.5.</v>
      </c>
    </row>
    <row r="16" spans="1:20" ht="30" customHeight="1" thickBot="1" x14ac:dyDescent="0.3">
      <c r="A16" s="138" t="str">
        <f t="shared" si="7"/>
        <v>4.2.6.</v>
      </c>
      <c r="B16" s="129" t="s">
        <v>379</v>
      </c>
      <c r="C16" s="130"/>
      <c r="D16" s="477"/>
      <c r="E16" s="477"/>
      <c r="F16" s="477"/>
      <c r="G16" s="477"/>
      <c r="H16" s="477"/>
      <c r="I16" s="477"/>
      <c r="J16" s="477"/>
      <c r="K16" s="477"/>
      <c r="L16" s="477"/>
      <c r="N16" s="175" t="s">
        <v>784</v>
      </c>
      <c r="O16" s="134">
        <v>2</v>
      </c>
      <c r="P16" s="116">
        <f t="shared" si="5"/>
        <v>4</v>
      </c>
      <c r="Q16" s="116">
        <f>COUNTIFS($O$1:$O16,1)</f>
        <v>2</v>
      </c>
      <c r="R16" s="116">
        <f t="shared" si="2"/>
        <v>6</v>
      </c>
      <c r="S16" s="116"/>
      <c r="T16" s="131" t="str">
        <f t="shared" si="3"/>
        <v>4.2.6.</v>
      </c>
    </row>
    <row r="17" spans="1:21" x14ac:dyDescent="0.25">
      <c r="A17" s="66" t="str">
        <f t="shared" si="7"/>
        <v>4.3.</v>
      </c>
      <c r="B17" s="271" t="s">
        <v>374</v>
      </c>
      <c r="C17" s="128"/>
      <c r="D17" s="484"/>
      <c r="E17" s="480"/>
      <c r="F17" s="480"/>
      <c r="G17" s="480"/>
      <c r="H17" s="480"/>
      <c r="I17" s="480"/>
      <c r="J17" s="480"/>
      <c r="K17" s="480"/>
      <c r="L17" s="481"/>
      <c r="N17" s="175" t="s">
        <v>365</v>
      </c>
      <c r="O17" s="134">
        <v>1</v>
      </c>
      <c r="P17" s="116">
        <f t="shared" ref="P17:P50" si="9">+P16</f>
        <v>4</v>
      </c>
      <c r="Q17" s="116">
        <f>COUNTIFS($O$1:$O17,1)</f>
        <v>3</v>
      </c>
      <c r="R17" s="116" t="str">
        <f t="shared" ref="R17:R48" si="10">IF($O17=$R$1,IF($O17&lt;&gt;$O16, 1, R16+1),"")</f>
        <v/>
      </c>
      <c r="S17" s="116"/>
      <c r="T17" s="131" t="str">
        <f t="shared" si="3"/>
        <v>4.3.</v>
      </c>
    </row>
    <row r="18" spans="1:21" x14ac:dyDescent="0.25">
      <c r="A18" s="56" t="str">
        <f t="shared" si="7"/>
        <v>4.3.1.</v>
      </c>
      <c r="B18" s="136" t="s">
        <v>368</v>
      </c>
      <c r="C18" s="127"/>
      <c r="D18" s="485"/>
      <c r="E18" s="478"/>
      <c r="F18" s="478"/>
      <c r="G18" s="478"/>
      <c r="H18" s="478"/>
      <c r="I18" s="478"/>
      <c r="J18" s="478"/>
      <c r="K18" s="478"/>
      <c r="L18" s="479"/>
      <c r="N18" s="175" t="s">
        <v>423</v>
      </c>
      <c r="O18" s="134">
        <v>2</v>
      </c>
      <c r="P18" s="116">
        <f t="shared" si="9"/>
        <v>4</v>
      </c>
      <c r="Q18" s="116">
        <f>COUNTIFS($O$1:$O18,1)</f>
        <v>3</v>
      </c>
      <c r="R18" s="116">
        <f t="shared" si="10"/>
        <v>1</v>
      </c>
      <c r="S18" s="116"/>
      <c r="T18" s="131" t="str">
        <f t="shared" si="3"/>
        <v>4.3.1.</v>
      </c>
    </row>
    <row r="19" spans="1:21" x14ac:dyDescent="0.25">
      <c r="A19" s="56" t="str">
        <f t="shared" si="7"/>
        <v>4.3.2.</v>
      </c>
      <c r="B19" s="13" t="s">
        <v>17</v>
      </c>
      <c r="C19" s="277" t="s">
        <v>20</v>
      </c>
      <c r="D19" s="24"/>
      <c r="E19" s="24"/>
      <c r="F19" s="24"/>
      <c r="G19" s="24"/>
      <c r="H19" s="24"/>
      <c r="I19" s="24"/>
      <c r="J19" s="24"/>
      <c r="K19" s="24"/>
      <c r="L19" s="24"/>
      <c r="N19" s="176" t="s">
        <v>424</v>
      </c>
      <c r="O19" s="134">
        <v>2</v>
      </c>
      <c r="P19" s="116">
        <f t="shared" si="9"/>
        <v>4</v>
      </c>
      <c r="Q19" s="116">
        <f>COUNTIFS($O$1:$O19,1)</f>
        <v>3</v>
      </c>
      <c r="R19" s="116">
        <f t="shared" si="10"/>
        <v>2</v>
      </c>
      <c r="S19" s="116"/>
      <c r="T19" s="131" t="str">
        <f t="shared" si="3"/>
        <v>4.3.2.</v>
      </c>
    </row>
    <row r="20" spans="1:21" x14ac:dyDescent="0.25">
      <c r="A20" s="56" t="str">
        <f t="shared" si="7"/>
        <v>4.3.3.</v>
      </c>
      <c r="B20" s="13" t="s">
        <v>18</v>
      </c>
      <c r="C20" s="69" t="str">
        <f>+C19</f>
        <v>vnt.</v>
      </c>
      <c r="D20" s="24"/>
      <c r="E20" s="24"/>
      <c r="F20" s="24"/>
      <c r="G20" s="24"/>
      <c r="H20" s="24"/>
      <c r="I20" s="24"/>
      <c r="J20" s="24"/>
      <c r="K20" s="24"/>
      <c r="L20" s="24"/>
      <c r="N20" s="175" t="s">
        <v>425</v>
      </c>
      <c r="O20" s="134">
        <v>2</v>
      </c>
      <c r="P20" s="116">
        <f t="shared" si="9"/>
        <v>4</v>
      </c>
      <c r="Q20" s="116">
        <f>COUNTIFS($O$1:$O20,1)</f>
        <v>3</v>
      </c>
      <c r="R20" s="116">
        <f t="shared" si="10"/>
        <v>3</v>
      </c>
      <c r="S20" s="116"/>
      <c r="T20" s="131" t="str">
        <f t="shared" si="3"/>
        <v>4.3.3.</v>
      </c>
    </row>
    <row r="21" spans="1:21" x14ac:dyDescent="0.25">
      <c r="A21" s="56" t="str">
        <f t="shared" si="7"/>
        <v>4.3.4.</v>
      </c>
      <c r="B21" s="13" t="s">
        <v>19</v>
      </c>
      <c r="C21" s="14" t="str">
        <f>CONCATENATE("Eur/",C20)</f>
        <v>Eur/vnt.</v>
      </c>
      <c r="D21" s="275" t="str">
        <f>IFERROR(ROUND(D22/D20,2),"-")</f>
        <v>-</v>
      </c>
      <c r="E21" s="137"/>
      <c r="F21" s="137"/>
      <c r="G21" s="137"/>
      <c r="H21" s="137"/>
      <c r="I21" s="137"/>
      <c r="J21" s="137"/>
      <c r="K21" s="137"/>
      <c r="L21" s="137"/>
      <c r="N21" s="175" t="s">
        <v>426</v>
      </c>
      <c r="O21" s="134">
        <v>2</v>
      </c>
      <c r="P21" s="116">
        <f t="shared" si="9"/>
        <v>4</v>
      </c>
      <c r="Q21" s="116">
        <f>COUNTIFS($O$1:$O21,1)</f>
        <v>3</v>
      </c>
      <c r="R21" s="116">
        <f t="shared" si="10"/>
        <v>4</v>
      </c>
      <c r="S21" s="116"/>
      <c r="T21" s="131" t="str">
        <f t="shared" si="3"/>
        <v>4.3.4.</v>
      </c>
    </row>
    <row r="22" spans="1:21" x14ac:dyDescent="0.25">
      <c r="A22" s="56" t="str">
        <f t="shared" si="7"/>
        <v>4.3.5.</v>
      </c>
      <c r="B22" s="13" t="s">
        <v>369</v>
      </c>
      <c r="C22" s="14" t="s">
        <v>15</v>
      </c>
      <c r="D22" s="24"/>
      <c r="E22" s="276">
        <f>ROUND(E20*E21,0)</f>
        <v>0</v>
      </c>
      <c r="F22" s="276">
        <f t="shared" ref="F22:L22" si="11">ROUND(F20*F21,0)</f>
        <v>0</v>
      </c>
      <c r="G22" s="276">
        <f t="shared" si="11"/>
        <v>0</v>
      </c>
      <c r="H22" s="276">
        <f t="shared" si="11"/>
        <v>0</v>
      </c>
      <c r="I22" s="276">
        <f t="shared" si="11"/>
        <v>0</v>
      </c>
      <c r="J22" s="276">
        <f t="shared" si="11"/>
        <v>0</v>
      </c>
      <c r="K22" s="276">
        <f t="shared" si="11"/>
        <v>0</v>
      </c>
      <c r="L22" s="276">
        <f t="shared" si="11"/>
        <v>0</v>
      </c>
      <c r="N22" s="175"/>
      <c r="O22" s="134">
        <v>2</v>
      </c>
      <c r="P22" s="116">
        <f t="shared" si="9"/>
        <v>4</v>
      </c>
      <c r="Q22" s="116">
        <f>COUNTIFS($O$1:$O22,1)</f>
        <v>3</v>
      </c>
      <c r="R22" s="116">
        <f t="shared" si="10"/>
        <v>5</v>
      </c>
      <c r="S22" s="116"/>
      <c r="T22" s="131" t="str">
        <f t="shared" si="3"/>
        <v>4.3.5.</v>
      </c>
      <c r="U22" s="134"/>
    </row>
    <row r="23" spans="1:21" ht="30" customHeight="1" thickBot="1" x14ac:dyDescent="0.3">
      <c r="A23" s="140" t="str">
        <f t="shared" si="7"/>
        <v>4.3.6.</v>
      </c>
      <c r="B23" s="141" t="s">
        <v>379</v>
      </c>
      <c r="C23" s="142"/>
      <c r="D23" s="482"/>
      <c r="E23" s="482"/>
      <c r="F23" s="482"/>
      <c r="G23" s="482"/>
      <c r="H23" s="482"/>
      <c r="I23" s="482"/>
      <c r="J23" s="482"/>
      <c r="K23" s="482"/>
      <c r="L23" s="482"/>
      <c r="N23" s="175" t="s">
        <v>784</v>
      </c>
      <c r="O23" s="134">
        <v>2</v>
      </c>
      <c r="P23" s="116">
        <f t="shared" si="9"/>
        <v>4</v>
      </c>
      <c r="Q23" s="116">
        <f>COUNTIFS($O$1:$O23,1)</f>
        <v>3</v>
      </c>
      <c r="R23" s="116">
        <f t="shared" si="10"/>
        <v>6</v>
      </c>
      <c r="S23" s="116"/>
      <c r="T23" s="131" t="str">
        <f t="shared" si="3"/>
        <v>4.3.6.</v>
      </c>
      <c r="U23" s="134"/>
    </row>
    <row r="24" spans="1:21" x14ac:dyDescent="0.25">
      <c r="A24" s="66" t="str">
        <f t="shared" si="7"/>
        <v>4.4.</v>
      </c>
      <c r="B24" s="271" t="s">
        <v>374</v>
      </c>
      <c r="C24" s="128"/>
      <c r="D24" s="486"/>
      <c r="E24" s="487"/>
      <c r="F24" s="487"/>
      <c r="G24" s="487"/>
      <c r="H24" s="487"/>
      <c r="I24" s="487"/>
      <c r="J24" s="487"/>
      <c r="K24" s="487"/>
      <c r="L24" s="488"/>
      <c r="N24" s="175" t="s">
        <v>365</v>
      </c>
      <c r="O24" s="134">
        <v>1</v>
      </c>
      <c r="P24" s="116">
        <f t="shared" si="9"/>
        <v>4</v>
      </c>
      <c r="Q24" s="116">
        <f>COUNTIFS($O$1:$O24,1)</f>
        <v>4</v>
      </c>
      <c r="R24" s="116" t="str">
        <f t="shared" si="10"/>
        <v/>
      </c>
      <c r="S24" s="116"/>
      <c r="T24" s="131" t="str">
        <f t="shared" si="3"/>
        <v>4.4.</v>
      </c>
      <c r="U24" s="134"/>
    </row>
    <row r="25" spans="1:21" x14ac:dyDescent="0.25">
      <c r="A25" s="56" t="str">
        <f t="shared" si="7"/>
        <v>4.4.1.</v>
      </c>
      <c r="B25" s="136" t="s">
        <v>368</v>
      </c>
      <c r="C25" s="127"/>
      <c r="D25" s="483"/>
      <c r="E25" s="483"/>
      <c r="F25" s="483"/>
      <c r="G25" s="483"/>
      <c r="H25" s="483"/>
      <c r="I25" s="483"/>
      <c r="J25" s="483"/>
      <c r="K25" s="483"/>
      <c r="L25" s="483"/>
      <c r="N25" s="175" t="s">
        <v>423</v>
      </c>
      <c r="O25" s="134">
        <v>2</v>
      </c>
      <c r="P25" s="116">
        <f t="shared" si="9"/>
        <v>4</v>
      </c>
      <c r="Q25" s="116">
        <f>COUNTIFS($O$1:$O25,1)</f>
        <v>4</v>
      </c>
      <c r="R25" s="116">
        <f t="shared" si="10"/>
        <v>1</v>
      </c>
      <c r="S25" s="116"/>
      <c r="T25" s="131" t="str">
        <f t="shared" si="3"/>
        <v>4.4.1.</v>
      </c>
      <c r="U25" s="134"/>
    </row>
    <row r="26" spans="1:21" x14ac:dyDescent="0.25">
      <c r="A26" s="56" t="str">
        <f t="shared" si="7"/>
        <v>4.4.2.</v>
      </c>
      <c r="B26" s="13" t="s">
        <v>17</v>
      </c>
      <c r="C26" s="277" t="s">
        <v>20</v>
      </c>
      <c r="D26" s="24"/>
      <c r="E26" s="24"/>
      <c r="F26" s="24"/>
      <c r="G26" s="24"/>
      <c r="H26" s="24"/>
      <c r="I26" s="24"/>
      <c r="J26" s="24"/>
      <c r="K26" s="24"/>
      <c r="L26" s="24"/>
      <c r="N26" s="176" t="s">
        <v>424</v>
      </c>
      <c r="O26" s="134">
        <v>2</v>
      </c>
      <c r="P26" s="116">
        <f t="shared" si="9"/>
        <v>4</v>
      </c>
      <c r="Q26" s="116">
        <f>COUNTIFS($O$1:$O26,1)</f>
        <v>4</v>
      </c>
      <c r="R26" s="116">
        <f t="shared" si="10"/>
        <v>2</v>
      </c>
      <c r="S26" s="116"/>
      <c r="T26" s="131" t="str">
        <f t="shared" si="3"/>
        <v>4.4.2.</v>
      </c>
      <c r="U26" s="134"/>
    </row>
    <row r="27" spans="1:21" x14ac:dyDescent="0.25">
      <c r="A27" s="56" t="str">
        <f t="shared" si="7"/>
        <v>4.4.3.</v>
      </c>
      <c r="B27" s="13" t="s">
        <v>18</v>
      </c>
      <c r="C27" s="69" t="str">
        <f>+C26</f>
        <v>vnt.</v>
      </c>
      <c r="D27" s="24"/>
      <c r="E27" s="24"/>
      <c r="F27" s="24"/>
      <c r="G27" s="24"/>
      <c r="H27" s="24"/>
      <c r="I27" s="24"/>
      <c r="J27" s="24"/>
      <c r="K27" s="24"/>
      <c r="L27" s="24"/>
      <c r="N27" s="175" t="s">
        <v>425</v>
      </c>
      <c r="O27" s="134">
        <v>2</v>
      </c>
      <c r="P27" s="116">
        <f t="shared" si="9"/>
        <v>4</v>
      </c>
      <c r="Q27" s="116">
        <f>COUNTIFS($O$1:$O27,1)</f>
        <v>4</v>
      </c>
      <c r="R27" s="116">
        <f t="shared" si="10"/>
        <v>3</v>
      </c>
      <c r="S27" s="116"/>
      <c r="T27" s="131" t="str">
        <f t="shared" si="3"/>
        <v>4.4.3.</v>
      </c>
      <c r="U27" s="134"/>
    </row>
    <row r="28" spans="1:21" x14ac:dyDescent="0.25">
      <c r="A28" s="56" t="str">
        <f t="shared" si="7"/>
        <v>4.4.4.</v>
      </c>
      <c r="B28" s="13" t="s">
        <v>19</v>
      </c>
      <c r="C28" s="14" t="str">
        <f>CONCATENATE("Eur/",C27)</f>
        <v>Eur/vnt.</v>
      </c>
      <c r="D28" s="275" t="str">
        <f>IFERROR(ROUND(D29/D27,2),"-")</f>
        <v>-</v>
      </c>
      <c r="E28" s="137"/>
      <c r="F28" s="137"/>
      <c r="G28" s="137"/>
      <c r="H28" s="137"/>
      <c r="I28" s="137"/>
      <c r="J28" s="137"/>
      <c r="K28" s="137"/>
      <c r="L28" s="137"/>
      <c r="N28" s="175" t="s">
        <v>426</v>
      </c>
      <c r="O28" s="134">
        <v>2</v>
      </c>
      <c r="P28" s="116">
        <f t="shared" si="9"/>
        <v>4</v>
      </c>
      <c r="Q28" s="116">
        <f>COUNTIFS($O$1:$O28,1)</f>
        <v>4</v>
      </c>
      <c r="R28" s="116">
        <f t="shared" si="10"/>
        <v>4</v>
      </c>
      <c r="S28" s="116"/>
      <c r="T28" s="131" t="str">
        <f t="shared" si="3"/>
        <v>4.4.4.</v>
      </c>
      <c r="U28" s="134"/>
    </row>
    <row r="29" spans="1:21" x14ac:dyDescent="0.25">
      <c r="A29" s="56" t="str">
        <f t="shared" si="7"/>
        <v>4.4.5.</v>
      </c>
      <c r="B29" s="13" t="s">
        <v>369</v>
      </c>
      <c r="C29" s="14" t="s">
        <v>15</v>
      </c>
      <c r="D29" s="24"/>
      <c r="E29" s="276">
        <f>ROUND(E27*E28,0)</f>
        <v>0</v>
      </c>
      <c r="F29" s="276">
        <f t="shared" ref="F29:L29" si="12">ROUND(F27*F28,0)</f>
        <v>0</v>
      </c>
      <c r="G29" s="276">
        <f t="shared" si="12"/>
        <v>0</v>
      </c>
      <c r="H29" s="276">
        <f t="shared" si="12"/>
        <v>0</v>
      </c>
      <c r="I29" s="276">
        <f t="shared" si="12"/>
        <v>0</v>
      </c>
      <c r="J29" s="276">
        <f t="shared" si="12"/>
        <v>0</v>
      </c>
      <c r="K29" s="276">
        <f t="shared" si="12"/>
        <v>0</v>
      </c>
      <c r="L29" s="276">
        <f t="shared" si="12"/>
        <v>0</v>
      </c>
      <c r="N29" s="175"/>
      <c r="O29" s="134">
        <v>2</v>
      </c>
      <c r="P29" s="116">
        <f t="shared" si="9"/>
        <v>4</v>
      </c>
      <c r="Q29" s="116">
        <f>COUNTIFS($O$1:$O29,1)</f>
        <v>4</v>
      </c>
      <c r="R29" s="116">
        <f t="shared" si="10"/>
        <v>5</v>
      </c>
      <c r="S29" s="116"/>
      <c r="T29" s="131" t="str">
        <f t="shared" si="3"/>
        <v>4.4.5.</v>
      </c>
      <c r="U29" s="134"/>
    </row>
    <row r="30" spans="1:21" ht="30" customHeight="1" thickBot="1" x14ac:dyDescent="0.3">
      <c r="A30" s="138" t="str">
        <f t="shared" si="7"/>
        <v>4.4.6.</v>
      </c>
      <c r="B30" s="141" t="s">
        <v>379</v>
      </c>
      <c r="C30" s="142"/>
      <c r="D30" s="482"/>
      <c r="E30" s="482"/>
      <c r="F30" s="482"/>
      <c r="G30" s="482"/>
      <c r="H30" s="482"/>
      <c r="I30" s="482"/>
      <c r="J30" s="482"/>
      <c r="K30" s="482"/>
      <c r="L30" s="482"/>
      <c r="N30" s="175" t="s">
        <v>784</v>
      </c>
      <c r="O30" s="134">
        <v>2</v>
      </c>
      <c r="P30" s="116">
        <f t="shared" si="9"/>
        <v>4</v>
      </c>
      <c r="Q30" s="116">
        <f>COUNTIFS($O$1:$O30,1)</f>
        <v>4</v>
      </c>
      <c r="R30" s="116">
        <f t="shared" si="10"/>
        <v>6</v>
      </c>
      <c r="S30" s="116"/>
      <c r="T30" s="131" t="str">
        <f t="shared" si="3"/>
        <v>4.4.6.</v>
      </c>
      <c r="U30" s="134"/>
    </row>
    <row r="31" spans="1:21" x14ac:dyDescent="0.25">
      <c r="A31" s="66" t="str">
        <f t="shared" si="7"/>
        <v>4.5.</v>
      </c>
      <c r="B31" s="271" t="s">
        <v>374</v>
      </c>
      <c r="C31" s="128"/>
      <c r="D31" s="484"/>
      <c r="E31" s="480"/>
      <c r="F31" s="480"/>
      <c r="G31" s="480"/>
      <c r="H31" s="480"/>
      <c r="I31" s="480"/>
      <c r="J31" s="480"/>
      <c r="K31" s="480"/>
      <c r="L31" s="481"/>
      <c r="N31" s="175" t="s">
        <v>365</v>
      </c>
      <c r="O31" s="134">
        <v>1</v>
      </c>
      <c r="P31" s="116">
        <f t="shared" si="9"/>
        <v>4</v>
      </c>
      <c r="Q31" s="116">
        <f>COUNTIFS($O$1:$O31,1)</f>
        <v>5</v>
      </c>
      <c r="R31" s="116" t="str">
        <f t="shared" si="10"/>
        <v/>
      </c>
      <c r="S31" s="116"/>
      <c r="T31" s="131" t="str">
        <f t="shared" si="3"/>
        <v>4.5.</v>
      </c>
      <c r="U31" s="134"/>
    </row>
    <row r="32" spans="1:21" x14ac:dyDescent="0.25">
      <c r="A32" s="56" t="str">
        <f t="shared" si="7"/>
        <v>4.5.1.</v>
      </c>
      <c r="B32" s="136" t="s">
        <v>368</v>
      </c>
      <c r="C32" s="127"/>
      <c r="D32" s="485"/>
      <c r="E32" s="478"/>
      <c r="F32" s="478"/>
      <c r="G32" s="478"/>
      <c r="H32" s="478"/>
      <c r="I32" s="478"/>
      <c r="J32" s="478"/>
      <c r="K32" s="478"/>
      <c r="L32" s="479"/>
      <c r="N32" s="175" t="s">
        <v>423</v>
      </c>
      <c r="O32" s="134">
        <v>2</v>
      </c>
      <c r="P32" s="116">
        <f t="shared" si="9"/>
        <v>4</v>
      </c>
      <c r="Q32" s="116">
        <f>COUNTIFS($O$1:$O32,1)</f>
        <v>5</v>
      </c>
      <c r="R32" s="116">
        <f t="shared" si="10"/>
        <v>1</v>
      </c>
      <c r="S32" s="116"/>
      <c r="T32" s="131" t="str">
        <f t="shared" si="3"/>
        <v>4.5.1.</v>
      </c>
      <c r="U32" s="134"/>
    </row>
    <row r="33" spans="1:21" x14ac:dyDescent="0.25">
      <c r="A33" s="56" t="str">
        <f t="shared" si="7"/>
        <v>4.5.2.</v>
      </c>
      <c r="B33" s="13" t="s">
        <v>17</v>
      </c>
      <c r="C33" s="277" t="s">
        <v>20</v>
      </c>
      <c r="D33" s="24"/>
      <c r="E33" s="24"/>
      <c r="F33" s="24"/>
      <c r="G33" s="24"/>
      <c r="H33" s="24"/>
      <c r="I33" s="24"/>
      <c r="J33" s="24"/>
      <c r="K33" s="24"/>
      <c r="L33" s="24"/>
      <c r="N33" s="176" t="s">
        <v>424</v>
      </c>
      <c r="O33" s="134">
        <v>2</v>
      </c>
      <c r="P33" s="116">
        <f t="shared" si="9"/>
        <v>4</v>
      </c>
      <c r="Q33" s="116">
        <f>COUNTIFS($O$1:$O33,1)</f>
        <v>5</v>
      </c>
      <c r="R33" s="116">
        <f t="shared" si="10"/>
        <v>2</v>
      </c>
      <c r="S33" s="116"/>
      <c r="T33" s="131" t="str">
        <f t="shared" si="3"/>
        <v>4.5.2.</v>
      </c>
      <c r="U33" s="134"/>
    </row>
    <row r="34" spans="1:21" x14ac:dyDescent="0.25">
      <c r="A34" s="56" t="str">
        <f t="shared" si="7"/>
        <v>4.5.3.</v>
      </c>
      <c r="B34" s="13" t="s">
        <v>18</v>
      </c>
      <c r="C34" s="69" t="str">
        <f>+C33</f>
        <v>vnt.</v>
      </c>
      <c r="D34" s="24"/>
      <c r="E34" s="24"/>
      <c r="F34" s="24"/>
      <c r="G34" s="24"/>
      <c r="H34" s="24"/>
      <c r="I34" s="24"/>
      <c r="J34" s="24"/>
      <c r="K34" s="24"/>
      <c r="L34" s="24"/>
      <c r="N34" s="175" t="s">
        <v>425</v>
      </c>
      <c r="O34" s="134">
        <v>2</v>
      </c>
      <c r="P34" s="116">
        <f t="shared" si="9"/>
        <v>4</v>
      </c>
      <c r="Q34" s="116">
        <f>COUNTIFS($O$1:$O34,1)</f>
        <v>5</v>
      </c>
      <c r="R34" s="116">
        <f t="shared" si="10"/>
        <v>3</v>
      </c>
      <c r="S34" s="116"/>
      <c r="T34" s="131" t="str">
        <f t="shared" si="3"/>
        <v>4.5.3.</v>
      </c>
      <c r="U34" s="134"/>
    </row>
    <row r="35" spans="1:21" x14ac:dyDescent="0.25">
      <c r="A35" s="56" t="str">
        <f t="shared" si="7"/>
        <v>4.5.4.</v>
      </c>
      <c r="B35" s="13" t="s">
        <v>19</v>
      </c>
      <c r="C35" s="14" t="str">
        <f>CONCATENATE("Eur/",C34)</f>
        <v>Eur/vnt.</v>
      </c>
      <c r="D35" s="275" t="str">
        <f>IFERROR(ROUND(D36/D34,2),"-")</f>
        <v>-</v>
      </c>
      <c r="E35" s="137"/>
      <c r="F35" s="137"/>
      <c r="G35" s="137"/>
      <c r="H35" s="137"/>
      <c r="I35" s="137"/>
      <c r="J35" s="137"/>
      <c r="K35" s="137"/>
      <c r="L35" s="137"/>
      <c r="N35" s="175" t="s">
        <v>426</v>
      </c>
      <c r="O35" s="134">
        <v>2</v>
      </c>
      <c r="P35" s="116">
        <f t="shared" si="9"/>
        <v>4</v>
      </c>
      <c r="Q35" s="116">
        <f>COUNTIFS($O$1:$O35,1)</f>
        <v>5</v>
      </c>
      <c r="R35" s="116">
        <f t="shared" si="10"/>
        <v>4</v>
      </c>
      <c r="S35" s="116"/>
      <c r="T35" s="131" t="str">
        <f t="shared" si="3"/>
        <v>4.5.4.</v>
      </c>
      <c r="U35" s="134"/>
    </row>
    <row r="36" spans="1:21" x14ac:dyDescent="0.25">
      <c r="A36" s="56" t="str">
        <f t="shared" si="7"/>
        <v>4.5.5.</v>
      </c>
      <c r="B36" s="13" t="s">
        <v>369</v>
      </c>
      <c r="C36" s="14" t="s">
        <v>15</v>
      </c>
      <c r="D36" s="24"/>
      <c r="E36" s="276">
        <f>ROUND(E34*E35,0)</f>
        <v>0</v>
      </c>
      <c r="F36" s="276">
        <f t="shared" ref="F36:L36" si="13">ROUND(F34*F35,0)</f>
        <v>0</v>
      </c>
      <c r="G36" s="276">
        <f t="shared" si="13"/>
        <v>0</v>
      </c>
      <c r="H36" s="276">
        <f t="shared" si="13"/>
        <v>0</v>
      </c>
      <c r="I36" s="276">
        <f t="shared" si="13"/>
        <v>0</v>
      </c>
      <c r="J36" s="276">
        <f t="shared" si="13"/>
        <v>0</v>
      </c>
      <c r="K36" s="276">
        <f t="shared" si="13"/>
        <v>0</v>
      </c>
      <c r="L36" s="276">
        <f t="shared" si="13"/>
        <v>0</v>
      </c>
      <c r="N36" s="175"/>
      <c r="O36" s="134">
        <v>2</v>
      </c>
      <c r="P36" s="116">
        <f t="shared" si="9"/>
        <v>4</v>
      </c>
      <c r="Q36" s="116">
        <f>COUNTIFS($O$1:$O36,1)</f>
        <v>5</v>
      </c>
      <c r="R36" s="116">
        <f t="shared" si="10"/>
        <v>5</v>
      </c>
      <c r="S36" s="116"/>
      <c r="T36" s="131" t="str">
        <f t="shared" si="3"/>
        <v>4.5.5.</v>
      </c>
      <c r="U36" s="134"/>
    </row>
    <row r="37" spans="1:21" ht="30" customHeight="1" thickBot="1" x14ac:dyDescent="0.3">
      <c r="A37" s="138" t="str">
        <f t="shared" si="7"/>
        <v>4.5.6.</v>
      </c>
      <c r="B37" s="141" t="s">
        <v>379</v>
      </c>
      <c r="C37" s="142"/>
      <c r="D37" s="482"/>
      <c r="E37" s="482"/>
      <c r="F37" s="482"/>
      <c r="G37" s="482"/>
      <c r="H37" s="482"/>
      <c r="I37" s="482"/>
      <c r="J37" s="482"/>
      <c r="K37" s="482"/>
      <c r="L37" s="482"/>
      <c r="N37" s="175" t="s">
        <v>784</v>
      </c>
      <c r="O37" s="134">
        <v>2</v>
      </c>
      <c r="P37" s="116">
        <f t="shared" si="9"/>
        <v>4</v>
      </c>
      <c r="Q37" s="116">
        <f>COUNTIFS($O$1:$O37,1)</f>
        <v>5</v>
      </c>
      <c r="R37" s="116">
        <f t="shared" si="10"/>
        <v>6</v>
      </c>
      <c r="S37" s="116"/>
      <c r="T37" s="131" t="str">
        <f t="shared" si="3"/>
        <v>4.5.6.</v>
      </c>
      <c r="U37" s="134"/>
    </row>
    <row r="38" spans="1:21" x14ac:dyDescent="0.25">
      <c r="A38" s="66" t="str">
        <f t="shared" si="7"/>
        <v>4.6.</v>
      </c>
      <c r="B38" s="271" t="s">
        <v>374</v>
      </c>
      <c r="C38" s="128"/>
      <c r="D38" s="484"/>
      <c r="E38" s="480"/>
      <c r="F38" s="480"/>
      <c r="G38" s="480"/>
      <c r="H38" s="480"/>
      <c r="I38" s="480"/>
      <c r="J38" s="480"/>
      <c r="K38" s="480"/>
      <c r="L38" s="481"/>
      <c r="N38" s="175" t="s">
        <v>365</v>
      </c>
      <c r="O38" s="134">
        <v>1</v>
      </c>
      <c r="P38" s="116">
        <f t="shared" si="9"/>
        <v>4</v>
      </c>
      <c r="Q38" s="116">
        <f>COUNTIFS($O$1:$O38,1)</f>
        <v>6</v>
      </c>
      <c r="R38" s="116" t="str">
        <f t="shared" si="10"/>
        <v/>
      </c>
      <c r="S38" s="116"/>
      <c r="T38" s="131" t="str">
        <f t="shared" si="3"/>
        <v>4.6.</v>
      </c>
      <c r="U38" s="134"/>
    </row>
    <row r="39" spans="1:21" x14ac:dyDescent="0.25">
      <c r="A39" s="56" t="str">
        <f t="shared" si="7"/>
        <v>4.6.1.</v>
      </c>
      <c r="B39" s="136" t="s">
        <v>368</v>
      </c>
      <c r="C39" s="127"/>
      <c r="D39" s="485"/>
      <c r="E39" s="478"/>
      <c r="F39" s="478"/>
      <c r="G39" s="478"/>
      <c r="H39" s="478"/>
      <c r="I39" s="478"/>
      <c r="J39" s="478"/>
      <c r="K39" s="478"/>
      <c r="L39" s="479"/>
      <c r="N39" s="175" t="s">
        <v>423</v>
      </c>
      <c r="O39" s="134">
        <v>2</v>
      </c>
      <c r="P39" s="116">
        <f t="shared" si="9"/>
        <v>4</v>
      </c>
      <c r="Q39" s="116">
        <f>COUNTIFS($O$1:$O39,1)</f>
        <v>6</v>
      </c>
      <c r="R39" s="116">
        <f t="shared" si="10"/>
        <v>1</v>
      </c>
      <c r="S39" s="116"/>
      <c r="T39" s="131" t="str">
        <f t="shared" si="3"/>
        <v>4.6.1.</v>
      </c>
      <c r="U39" s="134"/>
    </row>
    <row r="40" spans="1:21" x14ac:dyDescent="0.25">
      <c r="A40" s="56" t="str">
        <f t="shared" si="7"/>
        <v>4.6.2.</v>
      </c>
      <c r="B40" s="13" t="s">
        <v>17</v>
      </c>
      <c r="C40" s="277" t="s">
        <v>20</v>
      </c>
      <c r="D40" s="24"/>
      <c r="E40" s="24"/>
      <c r="F40" s="24"/>
      <c r="G40" s="24"/>
      <c r="H40" s="24"/>
      <c r="I40" s="24"/>
      <c r="J40" s="24"/>
      <c r="K40" s="24"/>
      <c r="L40" s="24"/>
      <c r="N40" s="176" t="s">
        <v>424</v>
      </c>
      <c r="O40" s="134">
        <v>2</v>
      </c>
      <c r="P40" s="116">
        <f t="shared" si="9"/>
        <v>4</v>
      </c>
      <c r="Q40" s="116">
        <f>COUNTIFS($O$1:$O40,1)</f>
        <v>6</v>
      </c>
      <c r="R40" s="116">
        <f t="shared" si="10"/>
        <v>2</v>
      </c>
      <c r="S40" s="116"/>
      <c r="T40" s="131" t="str">
        <f t="shared" si="3"/>
        <v>4.6.2.</v>
      </c>
      <c r="U40" s="134"/>
    </row>
    <row r="41" spans="1:21" x14ac:dyDescent="0.25">
      <c r="A41" s="56" t="str">
        <f t="shared" si="7"/>
        <v>4.6.3.</v>
      </c>
      <c r="B41" s="13" t="s">
        <v>18</v>
      </c>
      <c r="C41" s="69" t="str">
        <f>+C40</f>
        <v>vnt.</v>
      </c>
      <c r="D41" s="24"/>
      <c r="E41" s="24"/>
      <c r="F41" s="24"/>
      <c r="G41" s="24"/>
      <c r="H41" s="24"/>
      <c r="I41" s="24"/>
      <c r="J41" s="24"/>
      <c r="K41" s="24"/>
      <c r="L41" s="24"/>
      <c r="N41" s="175" t="s">
        <v>425</v>
      </c>
      <c r="O41" s="134">
        <v>2</v>
      </c>
      <c r="P41" s="116">
        <f t="shared" si="9"/>
        <v>4</v>
      </c>
      <c r="Q41" s="116">
        <f>COUNTIFS($O$1:$O41,1)</f>
        <v>6</v>
      </c>
      <c r="R41" s="116">
        <f t="shared" si="10"/>
        <v>3</v>
      </c>
      <c r="S41" s="116"/>
      <c r="T41" s="131" t="str">
        <f t="shared" si="3"/>
        <v>4.6.3.</v>
      </c>
      <c r="U41" s="134"/>
    </row>
    <row r="42" spans="1:21" x14ac:dyDescent="0.25">
      <c r="A42" s="56" t="str">
        <f t="shared" si="7"/>
        <v>4.6.4.</v>
      </c>
      <c r="B42" s="13" t="s">
        <v>19</v>
      </c>
      <c r="C42" s="14" t="str">
        <f>CONCATENATE("Eur/",C41)</f>
        <v>Eur/vnt.</v>
      </c>
      <c r="D42" s="275" t="str">
        <f>IFERROR(ROUND(D43/D41,2),"-")</f>
        <v>-</v>
      </c>
      <c r="E42" s="137"/>
      <c r="F42" s="137"/>
      <c r="G42" s="137"/>
      <c r="H42" s="137"/>
      <c r="I42" s="137"/>
      <c r="J42" s="137"/>
      <c r="K42" s="137"/>
      <c r="L42" s="137"/>
      <c r="N42" s="175" t="s">
        <v>426</v>
      </c>
      <c r="O42" s="134">
        <v>2</v>
      </c>
      <c r="P42" s="116">
        <f t="shared" si="9"/>
        <v>4</v>
      </c>
      <c r="Q42" s="116">
        <f>COUNTIFS($O$1:$O42,1)</f>
        <v>6</v>
      </c>
      <c r="R42" s="116">
        <f t="shared" si="10"/>
        <v>4</v>
      </c>
      <c r="S42" s="116"/>
      <c r="T42" s="131" t="str">
        <f t="shared" si="3"/>
        <v>4.6.4.</v>
      </c>
      <c r="U42" s="134"/>
    </row>
    <row r="43" spans="1:21" x14ac:dyDescent="0.25">
      <c r="A43" s="56" t="str">
        <f t="shared" si="7"/>
        <v>4.6.5.</v>
      </c>
      <c r="B43" s="13" t="s">
        <v>369</v>
      </c>
      <c r="C43" s="14" t="s">
        <v>15</v>
      </c>
      <c r="D43" s="24"/>
      <c r="E43" s="276">
        <f>ROUND(E41*E42,0)</f>
        <v>0</v>
      </c>
      <c r="F43" s="276">
        <f t="shared" ref="F43:L43" si="14">ROUND(F41*F42,0)</f>
        <v>0</v>
      </c>
      <c r="G43" s="276">
        <f t="shared" si="14"/>
        <v>0</v>
      </c>
      <c r="H43" s="276">
        <f t="shared" si="14"/>
        <v>0</v>
      </c>
      <c r="I43" s="276">
        <f t="shared" si="14"/>
        <v>0</v>
      </c>
      <c r="J43" s="276">
        <f t="shared" si="14"/>
        <v>0</v>
      </c>
      <c r="K43" s="276">
        <f t="shared" si="14"/>
        <v>0</v>
      </c>
      <c r="L43" s="276">
        <f t="shared" si="14"/>
        <v>0</v>
      </c>
      <c r="N43" s="175"/>
      <c r="O43" s="134">
        <v>2</v>
      </c>
      <c r="P43" s="116">
        <f t="shared" si="9"/>
        <v>4</v>
      </c>
      <c r="Q43" s="116">
        <f>COUNTIFS($O$1:$O43,1)</f>
        <v>6</v>
      </c>
      <c r="R43" s="116">
        <f t="shared" si="10"/>
        <v>5</v>
      </c>
      <c r="S43" s="116"/>
      <c r="T43" s="131" t="str">
        <f t="shared" si="3"/>
        <v>4.6.5.</v>
      </c>
      <c r="U43" s="134"/>
    </row>
    <row r="44" spans="1:21" ht="30" customHeight="1" thickBot="1" x14ac:dyDescent="0.3">
      <c r="A44" s="138" t="str">
        <f t="shared" si="7"/>
        <v>4.6.6.</v>
      </c>
      <c r="B44" s="141" t="s">
        <v>379</v>
      </c>
      <c r="C44" s="142"/>
      <c r="D44" s="482"/>
      <c r="E44" s="482"/>
      <c r="F44" s="482"/>
      <c r="G44" s="482"/>
      <c r="H44" s="482"/>
      <c r="I44" s="482"/>
      <c r="J44" s="482"/>
      <c r="K44" s="482"/>
      <c r="L44" s="482"/>
      <c r="N44" s="175" t="s">
        <v>784</v>
      </c>
      <c r="O44" s="134">
        <v>2</v>
      </c>
      <c r="P44" s="116">
        <f t="shared" si="9"/>
        <v>4</v>
      </c>
      <c r="Q44" s="116">
        <f>COUNTIFS($O$1:$O44,1)</f>
        <v>6</v>
      </c>
      <c r="R44" s="116">
        <f t="shared" si="10"/>
        <v>6</v>
      </c>
      <c r="S44" s="116"/>
      <c r="T44" s="131" t="str">
        <f t="shared" si="3"/>
        <v>4.6.6.</v>
      </c>
      <c r="U44" s="134"/>
    </row>
    <row r="45" spans="1:21" x14ac:dyDescent="0.25">
      <c r="A45" s="66" t="str">
        <f t="shared" si="7"/>
        <v>4.7.</v>
      </c>
      <c r="B45" s="271" t="s">
        <v>373</v>
      </c>
      <c r="C45" s="128"/>
      <c r="D45" s="480"/>
      <c r="E45" s="480"/>
      <c r="F45" s="480"/>
      <c r="G45" s="480"/>
      <c r="H45" s="480"/>
      <c r="I45" s="480"/>
      <c r="J45" s="480"/>
      <c r="K45" s="480"/>
      <c r="L45" s="481"/>
      <c r="N45" s="175" t="s">
        <v>427</v>
      </c>
      <c r="O45" s="134">
        <v>1</v>
      </c>
      <c r="P45" s="116">
        <f t="shared" si="9"/>
        <v>4</v>
      </c>
      <c r="Q45" s="116">
        <f>COUNTIFS($O$1:$O45,1)</f>
        <v>7</v>
      </c>
      <c r="R45" s="116" t="str">
        <f t="shared" si="10"/>
        <v/>
      </c>
      <c r="S45" s="116"/>
      <c r="T45" s="131" t="str">
        <f t="shared" si="3"/>
        <v>4.7.</v>
      </c>
      <c r="U45" s="134"/>
    </row>
    <row r="46" spans="1:21" x14ac:dyDescent="0.25">
      <c r="A46" s="56" t="str">
        <f t="shared" si="7"/>
        <v>4.7.1.</v>
      </c>
      <c r="B46" s="136" t="s">
        <v>368</v>
      </c>
      <c r="C46" s="127"/>
      <c r="D46" s="478"/>
      <c r="E46" s="478"/>
      <c r="F46" s="478"/>
      <c r="G46" s="478"/>
      <c r="H46" s="478"/>
      <c r="I46" s="478"/>
      <c r="J46" s="478"/>
      <c r="K46" s="478"/>
      <c r="L46" s="479"/>
      <c r="N46" s="175" t="s">
        <v>423</v>
      </c>
      <c r="O46" s="134">
        <v>2</v>
      </c>
      <c r="P46" s="116">
        <f t="shared" si="9"/>
        <v>4</v>
      </c>
      <c r="Q46" s="116">
        <f>COUNTIFS($O$1:$O46,1)</f>
        <v>7</v>
      </c>
      <c r="R46" s="116">
        <f t="shared" si="10"/>
        <v>1</v>
      </c>
      <c r="S46" s="116"/>
      <c r="T46" s="131" t="str">
        <f t="shared" si="3"/>
        <v>4.7.1.</v>
      </c>
      <c r="U46" s="134"/>
    </row>
    <row r="47" spans="1:21" s="17" customFormat="1" x14ac:dyDescent="0.25">
      <c r="A47" s="56" t="str">
        <f t="shared" si="7"/>
        <v>4.7.2.</v>
      </c>
      <c r="B47" s="13" t="s">
        <v>18</v>
      </c>
      <c r="C47" s="277" t="s">
        <v>243</v>
      </c>
      <c r="D47" s="24"/>
      <c r="E47" s="24"/>
      <c r="F47" s="24"/>
      <c r="G47" s="24"/>
      <c r="H47" s="24"/>
      <c r="I47" s="24"/>
      <c r="J47" s="24"/>
      <c r="K47" s="24"/>
      <c r="L47" s="24"/>
      <c r="M47" s="16"/>
      <c r="N47" s="176" t="s">
        <v>424</v>
      </c>
      <c r="O47" s="134">
        <v>2</v>
      </c>
      <c r="P47" s="116">
        <f t="shared" si="9"/>
        <v>4</v>
      </c>
      <c r="Q47" s="116">
        <f>COUNTIFS($O$1:$O47,1)</f>
        <v>7</v>
      </c>
      <c r="R47" s="116">
        <f t="shared" si="10"/>
        <v>2</v>
      </c>
      <c r="S47" s="116"/>
      <c r="T47" s="131" t="str">
        <f t="shared" si="3"/>
        <v>4.7.2.</v>
      </c>
      <c r="U47" s="134"/>
    </row>
    <row r="48" spans="1:21" x14ac:dyDescent="0.25">
      <c r="A48" s="56" t="str">
        <f t="shared" si="7"/>
        <v>4.7.3.</v>
      </c>
      <c r="B48" s="13" t="s">
        <v>19</v>
      </c>
      <c r="C48" s="14" t="str">
        <f>CONCATENATE("Eur/",C47)</f>
        <v>Eur/val.</v>
      </c>
      <c r="D48" s="275" t="str">
        <f>IFERROR(ROUND(D49/D47,2),"-")</f>
        <v>-</v>
      </c>
      <c r="E48" s="137"/>
      <c r="F48" s="137"/>
      <c r="G48" s="137"/>
      <c r="H48" s="137"/>
      <c r="I48" s="137"/>
      <c r="J48" s="137"/>
      <c r="K48" s="137"/>
      <c r="L48" s="137"/>
      <c r="N48" s="175" t="s">
        <v>426</v>
      </c>
      <c r="O48" s="134">
        <v>2</v>
      </c>
      <c r="P48" s="116">
        <f t="shared" si="9"/>
        <v>4</v>
      </c>
      <c r="Q48" s="116">
        <f>COUNTIFS($O$1:$O48,1)</f>
        <v>7</v>
      </c>
      <c r="R48" s="116">
        <f t="shared" si="10"/>
        <v>3</v>
      </c>
      <c r="S48" s="116"/>
      <c r="T48" s="131" t="str">
        <f t="shared" si="3"/>
        <v>4.7.3.</v>
      </c>
      <c r="U48" s="134"/>
    </row>
    <row r="49" spans="1:21" x14ac:dyDescent="0.25">
      <c r="A49" s="56" t="str">
        <f t="shared" si="7"/>
        <v>4.7.4.</v>
      </c>
      <c r="B49" s="13" t="s">
        <v>372</v>
      </c>
      <c r="C49" s="14" t="s">
        <v>15</v>
      </c>
      <c r="D49" s="24"/>
      <c r="E49" s="276">
        <f>ROUND(E47*E48,0)</f>
        <v>0</v>
      </c>
      <c r="F49" s="276">
        <f t="shared" ref="F49:L49" si="15">ROUND(F47*F48,0)</f>
        <v>0</v>
      </c>
      <c r="G49" s="276">
        <f t="shared" si="15"/>
        <v>0</v>
      </c>
      <c r="H49" s="276">
        <f t="shared" si="15"/>
        <v>0</v>
      </c>
      <c r="I49" s="276">
        <f t="shared" si="15"/>
        <v>0</v>
      </c>
      <c r="J49" s="276">
        <f t="shared" si="15"/>
        <v>0</v>
      </c>
      <c r="K49" s="276">
        <f t="shared" si="15"/>
        <v>0</v>
      </c>
      <c r="L49" s="276">
        <f t="shared" si="15"/>
        <v>0</v>
      </c>
      <c r="N49" s="175"/>
      <c r="O49" s="134">
        <v>2</v>
      </c>
      <c r="P49" s="116">
        <f t="shared" si="9"/>
        <v>4</v>
      </c>
      <c r="Q49" s="116">
        <f>COUNTIFS($O$1:$O49,1)</f>
        <v>7</v>
      </c>
      <c r="R49" s="116">
        <f t="shared" ref="R49:R80" si="16">IF($O49=$R$1,IF($O49&lt;&gt;$O48, 1, R48+1),"")</f>
        <v>4</v>
      </c>
      <c r="S49" s="116"/>
      <c r="T49" s="131" t="str">
        <f t="shared" si="3"/>
        <v>4.7.4.</v>
      </c>
      <c r="U49" s="134"/>
    </row>
    <row r="50" spans="1:21" ht="30" customHeight="1" thickBot="1" x14ac:dyDescent="0.3">
      <c r="A50" s="138" t="str">
        <f t="shared" si="7"/>
        <v>4.7.5.</v>
      </c>
      <c r="B50" s="135" t="s">
        <v>379</v>
      </c>
      <c r="C50" s="130"/>
      <c r="D50" s="477"/>
      <c r="E50" s="477"/>
      <c r="F50" s="477"/>
      <c r="G50" s="477"/>
      <c r="H50" s="477"/>
      <c r="I50" s="477"/>
      <c r="J50" s="477"/>
      <c r="K50" s="477"/>
      <c r="L50" s="477"/>
      <c r="N50" s="175" t="s">
        <v>784</v>
      </c>
      <c r="O50" s="134">
        <v>2</v>
      </c>
      <c r="P50" s="116">
        <f t="shared" si="9"/>
        <v>4</v>
      </c>
      <c r="Q50" s="116">
        <f>COUNTIFS($O$1:$O50,1)</f>
        <v>7</v>
      </c>
      <c r="R50" s="116">
        <f t="shared" si="16"/>
        <v>5</v>
      </c>
      <c r="S50" s="116"/>
      <c r="T50" s="131" t="str">
        <f t="shared" si="3"/>
        <v>4.7.5.</v>
      </c>
      <c r="U50" s="134"/>
    </row>
    <row r="51" spans="1:21" x14ac:dyDescent="0.25">
      <c r="A51" s="66" t="str">
        <f t="shared" si="7"/>
        <v>4.8.</v>
      </c>
      <c r="B51" s="271" t="s">
        <v>373</v>
      </c>
      <c r="C51" s="128"/>
      <c r="D51" s="480"/>
      <c r="E51" s="480"/>
      <c r="F51" s="480"/>
      <c r="G51" s="480"/>
      <c r="H51" s="480"/>
      <c r="I51" s="480"/>
      <c r="J51" s="480"/>
      <c r="K51" s="480"/>
      <c r="L51" s="481"/>
      <c r="N51" s="175" t="s">
        <v>427</v>
      </c>
      <c r="O51" s="134">
        <v>1</v>
      </c>
      <c r="P51" s="116">
        <f t="shared" ref="P51:P86" si="17">+P50</f>
        <v>4</v>
      </c>
      <c r="Q51" s="116">
        <f>COUNTIFS($O$1:$O51,1)</f>
        <v>8</v>
      </c>
      <c r="R51" s="116" t="str">
        <f t="shared" si="16"/>
        <v/>
      </c>
      <c r="S51" s="116"/>
      <c r="T51" s="131" t="str">
        <f t="shared" si="3"/>
        <v>4.8.</v>
      </c>
      <c r="U51" s="134"/>
    </row>
    <row r="52" spans="1:21" x14ac:dyDescent="0.25">
      <c r="A52" s="56" t="str">
        <f t="shared" si="7"/>
        <v>4.8.1.</v>
      </c>
      <c r="B52" s="136" t="s">
        <v>368</v>
      </c>
      <c r="C52" s="127"/>
      <c r="D52" s="478"/>
      <c r="E52" s="478"/>
      <c r="F52" s="478"/>
      <c r="G52" s="478"/>
      <c r="H52" s="478"/>
      <c r="I52" s="478"/>
      <c r="J52" s="478"/>
      <c r="K52" s="478"/>
      <c r="L52" s="479"/>
      <c r="N52" s="175" t="s">
        <v>423</v>
      </c>
      <c r="O52" s="134">
        <v>2</v>
      </c>
      <c r="P52" s="116">
        <f t="shared" si="17"/>
        <v>4</v>
      </c>
      <c r="Q52" s="116">
        <f>COUNTIFS($O$1:$O52,1)</f>
        <v>8</v>
      </c>
      <c r="R52" s="116">
        <f t="shared" si="16"/>
        <v>1</v>
      </c>
      <c r="S52" s="116"/>
      <c r="T52" s="131" t="str">
        <f t="shared" si="3"/>
        <v>4.8.1.</v>
      </c>
      <c r="U52" s="134"/>
    </row>
    <row r="53" spans="1:21" x14ac:dyDescent="0.25">
      <c r="A53" s="56" t="str">
        <f t="shared" si="7"/>
        <v>4.8.2.</v>
      </c>
      <c r="B53" s="13" t="s">
        <v>18</v>
      </c>
      <c r="C53" s="277" t="s">
        <v>243</v>
      </c>
      <c r="D53" s="24"/>
      <c r="E53" s="24"/>
      <c r="F53" s="24"/>
      <c r="G53" s="24"/>
      <c r="H53" s="24"/>
      <c r="I53" s="24"/>
      <c r="J53" s="24"/>
      <c r="K53" s="24"/>
      <c r="L53" s="24"/>
      <c r="N53" s="176" t="s">
        <v>424</v>
      </c>
      <c r="O53" s="134">
        <v>2</v>
      </c>
      <c r="P53" s="116">
        <f t="shared" si="17"/>
        <v>4</v>
      </c>
      <c r="Q53" s="116">
        <f>COUNTIFS($O$1:$O53,1)</f>
        <v>8</v>
      </c>
      <c r="R53" s="116">
        <f t="shared" si="16"/>
        <v>2</v>
      </c>
      <c r="S53" s="116"/>
      <c r="T53" s="131" t="str">
        <f t="shared" si="3"/>
        <v>4.8.2.</v>
      </c>
      <c r="U53" s="134"/>
    </row>
    <row r="54" spans="1:21" x14ac:dyDescent="0.25">
      <c r="A54" s="56" t="str">
        <f t="shared" si="7"/>
        <v>4.8.3.</v>
      </c>
      <c r="B54" s="13" t="s">
        <v>19</v>
      </c>
      <c r="C54" s="14" t="str">
        <f>CONCATENATE("Eur/",C53)</f>
        <v>Eur/val.</v>
      </c>
      <c r="D54" s="275" t="str">
        <f>IFERROR(ROUND(D55/D53,2),"-")</f>
        <v>-</v>
      </c>
      <c r="E54" s="137"/>
      <c r="F54" s="137"/>
      <c r="G54" s="137"/>
      <c r="H54" s="137"/>
      <c r="I54" s="137"/>
      <c r="J54" s="137"/>
      <c r="K54" s="137"/>
      <c r="L54" s="137"/>
      <c r="N54" s="175" t="s">
        <v>426</v>
      </c>
      <c r="O54" s="134">
        <v>2</v>
      </c>
      <c r="P54" s="116">
        <f t="shared" si="17"/>
        <v>4</v>
      </c>
      <c r="Q54" s="116">
        <f>COUNTIFS($O$1:$O54,1)</f>
        <v>8</v>
      </c>
      <c r="R54" s="116">
        <f t="shared" si="16"/>
        <v>3</v>
      </c>
      <c r="S54" s="116"/>
      <c r="T54" s="131" t="str">
        <f t="shared" si="3"/>
        <v>4.8.3.</v>
      </c>
      <c r="U54" s="134"/>
    </row>
    <row r="55" spans="1:21" x14ac:dyDescent="0.25">
      <c r="A55" s="56" t="str">
        <f t="shared" si="7"/>
        <v>4.8.4.</v>
      </c>
      <c r="B55" s="13" t="s">
        <v>372</v>
      </c>
      <c r="C55" s="14" t="s">
        <v>15</v>
      </c>
      <c r="D55" s="24"/>
      <c r="E55" s="276">
        <f>ROUND(E53*E54,0)</f>
        <v>0</v>
      </c>
      <c r="F55" s="276">
        <f t="shared" ref="F55:L55" si="18">ROUND(F53*F54,0)</f>
        <v>0</v>
      </c>
      <c r="G55" s="276">
        <f t="shared" si="18"/>
        <v>0</v>
      </c>
      <c r="H55" s="276">
        <f t="shared" si="18"/>
        <v>0</v>
      </c>
      <c r="I55" s="276">
        <f t="shared" si="18"/>
        <v>0</v>
      </c>
      <c r="J55" s="276">
        <f t="shared" si="18"/>
        <v>0</v>
      </c>
      <c r="K55" s="276">
        <f t="shared" si="18"/>
        <v>0</v>
      </c>
      <c r="L55" s="276">
        <f t="shared" si="18"/>
        <v>0</v>
      </c>
      <c r="N55" s="175"/>
      <c r="O55" s="134">
        <v>2</v>
      </c>
      <c r="P55" s="116">
        <f t="shared" si="17"/>
        <v>4</v>
      </c>
      <c r="Q55" s="116">
        <f>COUNTIFS($O$1:$O55,1)</f>
        <v>8</v>
      </c>
      <c r="R55" s="116">
        <f t="shared" si="16"/>
        <v>4</v>
      </c>
      <c r="S55" s="116"/>
      <c r="T55" s="131" t="str">
        <f t="shared" si="3"/>
        <v>4.8.4.</v>
      </c>
      <c r="U55" s="134"/>
    </row>
    <row r="56" spans="1:21" ht="30" customHeight="1" thickBot="1" x14ac:dyDescent="0.3">
      <c r="A56" s="138" t="str">
        <f t="shared" si="7"/>
        <v>4.8.5.</v>
      </c>
      <c r="B56" s="135" t="s">
        <v>379</v>
      </c>
      <c r="C56" s="130"/>
      <c r="D56" s="477"/>
      <c r="E56" s="477"/>
      <c r="F56" s="477"/>
      <c r="G56" s="477"/>
      <c r="H56" s="477"/>
      <c r="I56" s="477"/>
      <c r="J56" s="477"/>
      <c r="K56" s="477"/>
      <c r="L56" s="477"/>
      <c r="N56" s="175" t="s">
        <v>784</v>
      </c>
      <c r="O56" s="134">
        <v>2</v>
      </c>
      <c r="P56" s="116">
        <f t="shared" si="17"/>
        <v>4</v>
      </c>
      <c r="Q56" s="116">
        <f>COUNTIFS($O$1:$O56,1)</f>
        <v>8</v>
      </c>
      <c r="R56" s="116">
        <f t="shared" si="16"/>
        <v>5</v>
      </c>
      <c r="S56" s="116"/>
      <c r="T56" s="131" t="str">
        <f t="shared" si="3"/>
        <v>4.8.5.</v>
      </c>
      <c r="U56" s="134"/>
    </row>
    <row r="57" spans="1:21" x14ac:dyDescent="0.25">
      <c r="A57" s="66" t="str">
        <f t="shared" si="7"/>
        <v>4.9.</v>
      </c>
      <c r="B57" s="271" t="s">
        <v>373</v>
      </c>
      <c r="C57" s="128"/>
      <c r="D57" s="480"/>
      <c r="E57" s="480"/>
      <c r="F57" s="480"/>
      <c r="G57" s="480"/>
      <c r="H57" s="480"/>
      <c r="I57" s="480"/>
      <c r="J57" s="480"/>
      <c r="K57" s="480"/>
      <c r="L57" s="481"/>
      <c r="N57" s="175" t="s">
        <v>427</v>
      </c>
      <c r="O57" s="134">
        <v>1</v>
      </c>
      <c r="P57" s="116">
        <f t="shared" si="17"/>
        <v>4</v>
      </c>
      <c r="Q57" s="116">
        <f>COUNTIFS($O$1:$O57,1)</f>
        <v>9</v>
      </c>
      <c r="R57" s="116" t="str">
        <f t="shared" si="16"/>
        <v/>
      </c>
      <c r="S57" s="116"/>
      <c r="T57" s="131" t="str">
        <f t="shared" si="3"/>
        <v>4.9.</v>
      </c>
      <c r="U57" s="134"/>
    </row>
    <row r="58" spans="1:21" x14ac:dyDescent="0.25">
      <c r="A58" s="56" t="str">
        <f t="shared" si="7"/>
        <v>4.9.1.</v>
      </c>
      <c r="B58" s="136" t="s">
        <v>368</v>
      </c>
      <c r="C58" s="127"/>
      <c r="D58" s="478"/>
      <c r="E58" s="478"/>
      <c r="F58" s="478"/>
      <c r="G58" s="478"/>
      <c r="H58" s="478"/>
      <c r="I58" s="478"/>
      <c r="J58" s="478"/>
      <c r="K58" s="478"/>
      <c r="L58" s="479"/>
      <c r="N58" s="175" t="s">
        <v>423</v>
      </c>
      <c r="O58" s="134">
        <v>2</v>
      </c>
      <c r="P58" s="116">
        <f t="shared" si="17"/>
        <v>4</v>
      </c>
      <c r="Q58" s="116">
        <f>COUNTIFS($O$1:$O58,1)</f>
        <v>9</v>
      </c>
      <c r="R58" s="116">
        <f t="shared" si="16"/>
        <v>1</v>
      </c>
      <c r="S58" s="116"/>
      <c r="T58" s="131" t="str">
        <f t="shared" si="3"/>
        <v>4.9.1.</v>
      </c>
      <c r="U58" s="134"/>
    </row>
    <row r="59" spans="1:21" x14ac:dyDescent="0.25">
      <c r="A59" s="56" t="str">
        <f t="shared" si="7"/>
        <v>4.9.2.</v>
      </c>
      <c r="B59" s="13" t="s">
        <v>18</v>
      </c>
      <c r="C59" s="277" t="s">
        <v>243</v>
      </c>
      <c r="D59" s="24"/>
      <c r="E59" s="24"/>
      <c r="F59" s="24"/>
      <c r="G59" s="24"/>
      <c r="H59" s="24"/>
      <c r="I59" s="24"/>
      <c r="J59" s="24"/>
      <c r="K59" s="24"/>
      <c r="L59" s="24"/>
      <c r="N59" s="176" t="s">
        <v>424</v>
      </c>
      <c r="O59" s="134">
        <v>2</v>
      </c>
      <c r="P59" s="116">
        <f t="shared" si="17"/>
        <v>4</v>
      </c>
      <c r="Q59" s="116">
        <f>COUNTIFS($O$1:$O59,1)</f>
        <v>9</v>
      </c>
      <c r="R59" s="116">
        <f t="shared" si="16"/>
        <v>2</v>
      </c>
      <c r="S59" s="116"/>
      <c r="T59" s="131" t="str">
        <f t="shared" si="3"/>
        <v>4.9.2.</v>
      </c>
      <c r="U59" s="134"/>
    </row>
    <row r="60" spans="1:21" x14ac:dyDescent="0.25">
      <c r="A60" s="56" t="str">
        <f t="shared" si="7"/>
        <v>4.9.3.</v>
      </c>
      <c r="B60" s="13" t="s">
        <v>19</v>
      </c>
      <c r="C60" s="14" t="str">
        <f>CONCATENATE("Eur/",C59)</f>
        <v>Eur/val.</v>
      </c>
      <c r="D60" s="275" t="str">
        <f>IFERROR(ROUND(D61/D59,2),"-")</f>
        <v>-</v>
      </c>
      <c r="E60" s="137"/>
      <c r="F60" s="137"/>
      <c r="G60" s="137"/>
      <c r="H60" s="137"/>
      <c r="I60" s="137"/>
      <c r="J60" s="137"/>
      <c r="K60" s="137"/>
      <c r="L60" s="137"/>
      <c r="N60" s="175" t="s">
        <v>426</v>
      </c>
      <c r="O60" s="134">
        <v>2</v>
      </c>
      <c r="P60" s="116">
        <f t="shared" si="17"/>
        <v>4</v>
      </c>
      <c r="Q60" s="116">
        <f>COUNTIFS($O$1:$O60,1)</f>
        <v>9</v>
      </c>
      <c r="R60" s="116">
        <f t="shared" si="16"/>
        <v>3</v>
      </c>
      <c r="S60" s="116"/>
      <c r="T60" s="131" t="str">
        <f t="shared" si="3"/>
        <v>4.9.3.</v>
      </c>
      <c r="U60" s="134"/>
    </row>
    <row r="61" spans="1:21" x14ac:dyDescent="0.25">
      <c r="A61" s="56" t="str">
        <f t="shared" si="7"/>
        <v>4.9.4.</v>
      </c>
      <c r="B61" s="13" t="s">
        <v>372</v>
      </c>
      <c r="C61" s="14" t="s">
        <v>15</v>
      </c>
      <c r="D61" s="24"/>
      <c r="E61" s="276">
        <f>ROUND(E59*E60,0)</f>
        <v>0</v>
      </c>
      <c r="F61" s="276">
        <f t="shared" ref="F61:L61" si="19">ROUND(F59*F60,0)</f>
        <v>0</v>
      </c>
      <c r="G61" s="276">
        <f t="shared" si="19"/>
        <v>0</v>
      </c>
      <c r="H61" s="276">
        <f t="shared" si="19"/>
        <v>0</v>
      </c>
      <c r="I61" s="276">
        <f t="shared" si="19"/>
        <v>0</v>
      </c>
      <c r="J61" s="276">
        <f t="shared" si="19"/>
        <v>0</v>
      </c>
      <c r="K61" s="276">
        <f t="shared" si="19"/>
        <v>0</v>
      </c>
      <c r="L61" s="276">
        <f t="shared" si="19"/>
        <v>0</v>
      </c>
      <c r="N61" s="175"/>
      <c r="O61" s="134">
        <v>2</v>
      </c>
      <c r="P61" s="116">
        <f t="shared" si="17"/>
        <v>4</v>
      </c>
      <c r="Q61" s="116">
        <f>COUNTIFS($O$1:$O61,1)</f>
        <v>9</v>
      </c>
      <c r="R61" s="116">
        <f t="shared" si="16"/>
        <v>4</v>
      </c>
      <c r="S61" s="116"/>
      <c r="T61" s="131" t="str">
        <f t="shared" si="3"/>
        <v>4.9.4.</v>
      </c>
      <c r="U61" s="134"/>
    </row>
    <row r="62" spans="1:21" ht="30" customHeight="1" thickBot="1" x14ac:dyDescent="0.3">
      <c r="A62" s="138" t="str">
        <f t="shared" si="7"/>
        <v>4.9.5.</v>
      </c>
      <c r="B62" s="135" t="s">
        <v>379</v>
      </c>
      <c r="C62" s="130"/>
      <c r="D62" s="477"/>
      <c r="E62" s="477"/>
      <c r="F62" s="477"/>
      <c r="G62" s="477"/>
      <c r="H62" s="477"/>
      <c r="I62" s="477"/>
      <c r="J62" s="477"/>
      <c r="K62" s="477"/>
      <c r="L62" s="477"/>
      <c r="N62" s="175" t="s">
        <v>784</v>
      </c>
      <c r="O62" s="134">
        <v>2</v>
      </c>
      <c r="P62" s="116">
        <f t="shared" si="17"/>
        <v>4</v>
      </c>
      <c r="Q62" s="116">
        <f>COUNTIFS($O$1:$O62,1)</f>
        <v>9</v>
      </c>
      <c r="R62" s="116">
        <f t="shared" si="16"/>
        <v>5</v>
      </c>
      <c r="S62" s="116"/>
      <c r="T62" s="131" t="str">
        <f t="shared" si="3"/>
        <v>4.9.5.</v>
      </c>
      <c r="U62" s="134"/>
    </row>
    <row r="63" spans="1:21" x14ac:dyDescent="0.25">
      <c r="A63" s="66" t="str">
        <f t="shared" si="7"/>
        <v>4.10.</v>
      </c>
      <c r="B63" s="271" t="s">
        <v>373</v>
      </c>
      <c r="C63" s="128"/>
      <c r="D63" s="480"/>
      <c r="E63" s="480"/>
      <c r="F63" s="480"/>
      <c r="G63" s="480"/>
      <c r="H63" s="480"/>
      <c r="I63" s="480"/>
      <c r="J63" s="480"/>
      <c r="K63" s="480"/>
      <c r="L63" s="481"/>
      <c r="N63" s="175" t="s">
        <v>427</v>
      </c>
      <c r="O63" s="134">
        <v>1</v>
      </c>
      <c r="P63" s="116">
        <f t="shared" si="17"/>
        <v>4</v>
      </c>
      <c r="Q63" s="116">
        <f>COUNTIFS($O$1:$O63,1)</f>
        <v>10</v>
      </c>
      <c r="R63" s="116" t="str">
        <f t="shared" si="16"/>
        <v/>
      </c>
      <c r="S63" s="116"/>
      <c r="T63" s="131" t="str">
        <f t="shared" si="3"/>
        <v>4.10.</v>
      </c>
      <c r="U63" s="134"/>
    </row>
    <row r="64" spans="1:21" x14ac:dyDescent="0.25">
      <c r="A64" s="56" t="str">
        <f t="shared" si="7"/>
        <v>4.10.1.</v>
      </c>
      <c r="B64" s="136" t="s">
        <v>368</v>
      </c>
      <c r="C64" s="127"/>
      <c r="D64" s="478"/>
      <c r="E64" s="478"/>
      <c r="F64" s="478"/>
      <c r="G64" s="478"/>
      <c r="H64" s="478"/>
      <c r="I64" s="478"/>
      <c r="J64" s="478"/>
      <c r="K64" s="478"/>
      <c r="L64" s="479"/>
      <c r="N64" s="175" t="s">
        <v>423</v>
      </c>
      <c r="O64" s="134">
        <v>2</v>
      </c>
      <c r="P64" s="116">
        <f t="shared" si="17"/>
        <v>4</v>
      </c>
      <c r="Q64" s="116">
        <f>COUNTIFS($O$1:$O64,1)</f>
        <v>10</v>
      </c>
      <c r="R64" s="116">
        <f t="shared" si="16"/>
        <v>1</v>
      </c>
      <c r="S64" s="116"/>
      <c r="T64" s="131" t="str">
        <f t="shared" si="3"/>
        <v>4.10.1.</v>
      </c>
      <c r="U64" s="134"/>
    </row>
    <row r="65" spans="1:21" x14ac:dyDescent="0.25">
      <c r="A65" s="56" t="str">
        <f t="shared" si="7"/>
        <v>4.10.2.</v>
      </c>
      <c r="B65" s="13" t="s">
        <v>18</v>
      </c>
      <c r="C65" s="277" t="s">
        <v>243</v>
      </c>
      <c r="D65" s="24"/>
      <c r="E65" s="24"/>
      <c r="F65" s="24"/>
      <c r="G65" s="24"/>
      <c r="H65" s="24"/>
      <c r="I65" s="24"/>
      <c r="J65" s="24"/>
      <c r="K65" s="24"/>
      <c r="L65" s="24"/>
      <c r="N65" s="176" t="s">
        <v>424</v>
      </c>
      <c r="O65" s="134">
        <v>2</v>
      </c>
      <c r="P65" s="116">
        <f t="shared" si="17"/>
        <v>4</v>
      </c>
      <c r="Q65" s="116">
        <f>COUNTIFS($O$1:$O65,1)</f>
        <v>10</v>
      </c>
      <c r="R65" s="116">
        <f t="shared" si="16"/>
        <v>2</v>
      </c>
      <c r="S65" s="116"/>
      <c r="T65" s="131" t="str">
        <f t="shared" si="3"/>
        <v>4.10.2.</v>
      </c>
      <c r="U65" s="134"/>
    </row>
    <row r="66" spans="1:21" x14ac:dyDescent="0.25">
      <c r="A66" s="56" t="str">
        <f t="shared" si="7"/>
        <v>4.10.3.</v>
      </c>
      <c r="B66" s="13" t="s">
        <v>19</v>
      </c>
      <c r="C66" s="14" t="str">
        <f>CONCATENATE("Eur/",C65)</f>
        <v>Eur/val.</v>
      </c>
      <c r="D66" s="275" t="str">
        <f>IFERROR(ROUND(D67/D65,2),"-")</f>
        <v>-</v>
      </c>
      <c r="E66" s="137"/>
      <c r="F66" s="137"/>
      <c r="G66" s="137"/>
      <c r="H66" s="137"/>
      <c r="I66" s="137"/>
      <c r="J66" s="137"/>
      <c r="K66" s="137"/>
      <c r="L66" s="137"/>
      <c r="N66" s="175" t="s">
        <v>426</v>
      </c>
      <c r="O66" s="134">
        <v>2</v>
      </c>
      <c r="P66" s="116">
        <f t="shared" si="17"/>
        <v>4</v>
      </c>
      <c r="Q66" s="116">
        <f>COUNTIFS($O$1:$O66,1)</f>
        <v>10</v>
      </c>
      <c r="R66" s="116">
        <f t="shared" si="16"/>
        <v>3</v>
      </c>
      <c r="S66" s="116"/>
      <c r="T66" s="131" t="str">
        <f t="shared" si="3"/>
        <v>4.10.3.</v>
      </c>
      <c r="U66" s="134"/>
    </row>
    <row r="67" spans="1:21" x14ac:dyDescent="0.25">
      <c r="A67" s="56" t="str">
        <f t="shared" si="7"/>
        <v>4.10.4.</v>
      </c>
      <c r="B67" s="13" t="s">
        <v>372</v>
      </c>
      <c r="C67" s="14" t="s">
        <v>15</v>
      </c>
      <c r="D67" s="24"/>
      <c r="E67" s="276">
        <f>ROUND(E65*E66,0)</f>
        <v>0</v>
      </c>
      <c r="F67" s="276">
        <f t="shared" ref="F67:L67" si="20">ROUND(F65*F66,0)</f>
        <v>0</v>
      </c>
      <c r="G67" s="276">
        <f t="shared" si="20"/>
        <v>0</v>
      </c>
      <c r="H67" s="276">
        <f t="shared" si="20"/>
        <v>0</v>
      </c>
      <c r="I67" s="276">
        <f t="shared" si="20"/>
        <v>0</v>
      </c>
      <c r="J67" s="276">
        <f t="shared" si="20"/>
        <v>0</v>
      </c>
      <c r="K67" s="276">
        <f t="shared" si="20"/>
        <v>0</v>
      </c>
      <c r="L67" s="276">
        <f t="shared" si="20"/>
        <v>0</v>
      </c>
      <c r="N67" s="175"/>
      <c r="O67" s="134">
        <v>2</v>
      </c>
      <c r="P67" s="116">
        <f t="shared" si="17"/>
        <v>4</v>
      </c>
      <c r="Q67" s="116">
        <f>COUNTIFS($O$1:$O67,1)</f>
        <v>10</v>
      </c>
      <c r="R67" s="116">
        <f t="shared" si="16"/>
        <v>4</v>
      </c>
      <c r="S67" s="116"/>
      <c r="T67" s="131" t="str">
        <f t="shared" si="3"/>
        <v>4.10.4.</v>
      </c>
      <c r="U67" s="134"/>
    </row>
    <row r="68" spans="1:21" ht="30" customHeight="1" thickBot="1" x14ac:dyDescent="0.3">
      <c r="A68" s="138" t="str">
        <f t="shared" si="7"/>
        <v>4.10.5.</v>
      </c>
      <c r="B68" s="135" t="s">
        <v>379</v>
      </c>
      <c r="C68" s="130"/>
      <c r="D68" s="477"/>
      <c r="E68" s="477"/>
      <c r="F68" s="477"/>
      <c r="G68" s="477"/>
      <c r="H68" s="477"/>
      <c r="I68" s="477"/>
      <c r="J68" s="477"/>
      <c r="K68" s="477"/>
      <c r="L68" s="477"/>
      <c r="N68" s="175" t="s">
        <v>784</v>
      </c>
      <c r="O68" s="134">
        <v>2</v>
      </c>
      <c r="P68" s="116">
        <f t="shared" si="17"/>
        <v>4</v>
      </c>
      <c r="Q68" s="116">
        <f>COUNTIFS($O$1:$O68,1)</f>
        <v>10</v>
      </c>
      <c r="R68" s="116">
        <f t="shared" si="16"/>
        <v>5</v>
      </c>
      <c r="S68" s="116"/>
      <c r="T68" s="131" t="str">
        <f t="shared" si="3"/>
        <v>4.10.5.</v>
      </c>
      <c r="U68" s="134"/>
    </row>
    <row r="69" spans="1:21" x14ac:dyDescent="0.25">
      <c r="A69" s="66" t="str">
        <f t="shared" si="7"/>
        <v>4.11.</v>
      </c>
      <c r="B69" s="271" t="s">
        <v>373</v>
      </c>
      <c r="C69" s="128"/>
      <c r="D69" s="480"/>
      <c r="E69" s="480"/>
      <c r="F69" s="480"/>
      <c r="G69" s="480"/>
      <c r="H69" s="480"/>
      <c r="I69" s="480"/>
      <c r="J69" s="480"/>
      <c r="K69" s="480"/>
      <c r="L69" s="481"/>
      <c r="N69" s="175" t="s">
        <v>427</v>
      </c>
      <c r="O69" s="134">
        <v>1</v>
      </c>
      <c r="P69" s="116">
        <f t="shared" si="17"/>
        <v>4</v>
      </c>
      <c r="Q69" s="116">
        <f>COUNTIFS($O$1:$O69,1)</f>
        <v>11</v>
      </c>
      <c r="R69" s="116" t="str">
        <f t="shared" si="16"/>
        <v/>
      </c>
      <c r="S69" s="116"/>
      <c r="T69" s="131" t="str">
        <f t="shared" si="3"/>
        <v>4.11.</v>
      </c>
      <c r="U69" s="134"/>
    </row>
    <row r="70" spans="1:21" x14ac:dyDescent="0.25">
      <c r="A70" s="56" t="str">
        <f t="shared" si="7"/>
        <v>4.11.1.</v>
      </c>
      <c r="B70" s="136" t="s">
        <v>368</v>
      </c>
      <c r="C70" s="127"/>
      <c r="D70" s="478"/>
      <c r="E70" s="478"/>
      <c r="F70" s="478"/>
      <c r="G70" s="478"/>
      <c r="H70" s="478"/>
      <c r="I70" s="478"/>
      <c r="J70" s="478"/>
      <c r="K70" s="478"/>
      <c r="L70" s="479"/>
      <c r="N70" s="175" t="s">
        <v>423</v>
      </c>
      <c r="O70" s="134">
        <v>2</v>
      </c>
      <c r="P70" s="116">
        <f t="shared" si="17"/>
        <v>4</v>
      </c>
      <c r="Q70" s="116">
        <f>COUNTIFS($O$1:$O70,1)</f>
        <v>11</v>
      </c>
      <c r="R70" s="116">
        <f t="shared" si="16"/>
        <v>1</v>
      </c>
      <c r="S70" s="116"/>
      <c r="T70" s="131" t="str">
        <f t="shared" si="3"/>
        <v>4.11.1.</v>
      </c>
      <c r="U70" s="134"/>
    </row>
    <row r="71" spans="1:21" x14ac:dyDescent="0.25">
      <c r="A71" s="56" t="str">
        <f t="shared" si="7"/>
        <v>4.11.2.</v>
      </c>
      <c r="B71" s="13" t="s">
        <v>18</v>
      </c>
      <c r="C71" s="277" t="s">
        <v>243</v>
      </c>
      <c r="D71" s="24"/>
      <c r="E71" s="24"/>
      <c r="F71" s="24"/>
      <c r="G71" s="24"/>
      <c r="H71" s="24"/>
      <c r="I71" s="24"/>
      <c r="J71" s="24"/>
      <c r="K71" s="24"/>
      <c r="L71" s="24"/>
      <c r="N71" s="176" t="s">
        <v>424</v>
      </c>
      <c r="O71" s="134">
        <v>2</v>
      </c>
      <c r="P71" s="116">
        <f t="shared" si="17"/>
        <v>4</v>
      </c>
      <c r="Q71" s="116">
        <f>COUNTIFS($O$1:$O71,1)</f>
        <v>11</v>
      </c>
      <c r="R71" s="116">
        <f t="shared" si="16"/>
        <v>2</v>
      </c>
      <c r="S71" s="116"/>
      <c r="T71" s="131" t="str">
        <f t="shared" ref="T71:T86" si="21">CONCATENATE($P71, ".", $Q71, IF($R71&lt;&gt;"", CONCATENATE(".", $R71), ""), ".")</f>
        <v>4.11.2.</v>
      </c>
      <c r="U71" s="134"/>
    </row>
    <row r="72" spans="1:21" x14ac:dyDescent="0.25">
      <c r="A72" s="56" t="str">
        <f t="shared" si="7"/>
        <v>4.11.3.</v>
      </c>
      <c r="B72" s="13" t="s">
        <v>19</v>
      </c>
      <c r="C72" s="14" t="str">
        <f>CONCATENATE("Eur/",C71)</f>
        <v>Eur/val.</v>
      </c>
      <c r="D72" s="275" t="str">
        <f>IFERROR(ROUND(D73/D71,2),"-")</f>
        <v>-</v>
      </c>
      <c r="E72" s="137"/>
      <c r="F72" s="137"/>
      <c r="G72" s="137"/>
      <c r="H72" s="137"/>
      <c r="I72" s="137"/>
      <c r="J72" s="137"/>
      <c r="K72" s="137"/>
      <c r="L72" s="137"/>
      <c r="N72" s="175" t="s">
        <v>426</v>
      </c>
      <c r="O72" s="134">
        <v>2</v>
      </c>
      <c r="P72" s="116">
        <f t="shared" si="17"/>
        <v>4</v>
      </c>
      <c r="Q72" s="116">
        <f>COUNTIFS($O$1:$O72,1)</f>
        <v>11</v>
      </c>
      <c r="R72" s="116">
        <f t="shared" si="16"/>
        <v>3</v>
      </c>
      <c r="S72" s="116"/>
      <c r="T72" s="131" t="str">
        <f t="shared" si="21"/>
        <v>4.11.3.</v>
      </c>
      <c r="U72" s="134"/>
    </row>
    <row r="73" spans="1:21" x14ac:dyDescent="0.25">
      <c r="A73" s="56" t="str">
        <f t="shared" si="7"/>
        <v>4.11.4.</v>
      </c>
      <c r="B73" s="13" t="s">
        <v>372</v>
      </c>
      <c r="C73" s="14" t="s">
        <v>15</v>
      </c>
      <c r="D73" s="24"/>
      <c r="E73" s="276">
        <f>ROUND(E71*E72,0)</f>
        <v>0</v>
      </c>
      <c r="F73" s="276">
        <f t="shared" ref="F73:L73" si="22">ROUND(F71*F72,0)</f>
        <v>0</v>
      </c>
      <c r="G73" s="276">
        <f t="shared" si="22"/>
        <v>0</v>
      </c>
      <c r="H73" s="276">
        <f t="shared" si="22"/>
        <v>0</v>
      </c>
      <c r="I73" s="276">
        <f t="shared" si="22"/>
        <v>0</v>
      </c>
      <c r="J73" s="276">
        <f t="shared" si="22"/>
        <v>0</v>
      </c>
      <c r="K73" s="276">
        <f t="shared" si="22"/>
        <v>0</v>
      </c>
      <c r="L73" s="276">
        <f t="shared" si="22"/>
        <v>0</v>
      </c>
      <c r="N73" s="175"/>
      <c r="O73" s="134">
        <v>2</v>
      </c>
      <c r="P73" s="116">
        <f t="shared" si="17"/>
        <v>4</v>
      </c>
      <c r="Q73" s="116">
        <f>COUNTIFS($O$1:$O73,1)</f>
        <v>11</v>
      </c>
      <c r="R73" s="116">
        <f t="shared" si="16"/>
        <v>4</v>
      </c>
      <c r="S73" s="116"/>
      <c r="T73" s="131" t="str">
        <f t="shared" si="21"/>
        <v>4.11.4.</v>
      </c>
      <c r="U73" s="134"/>
    </row>
    <row r="74" spans="1:21" ht="30" customHeight="1" thickBot="1" x14ac:dyDescent="0.3">
      <c r="A74" s="138" t="str">
        <f t="shared" si="7"/>
        <v>4.11.5.</v>
      </c>
      <c r="B74" s="135" t="s">
        <v>379</v>
      </c>
      <c r="C74" s="130"/>
      <c r="D74" s="477"/>
      <c r="E74" s="477"/>
      <c r="F74" s="477"/>
      <c r="G74" s="477"/>
      <c r="H74" s="477"/>
      <c r="I74" s="477"/>
      <c r="J74" s="477"/>
      <c r="K74" s="477"/>
      <c r="L74" s="477"/>
      <c r="N74" s="175" t="s">
        <v>784</v>
      </c>
      <c r="O74" s="134">
        <v>2</v>
      </c>
      <c r="P74" s="116">
        <f t="shared" si="17"/>
        <v>4</v>
      </c>
      <c r="Q74" s="116">
        <f>COUNTIFS($O$1:$O74,1)</f>
        <v>11</v>
      </c>
      <c r="R74" s="116">
        <f t="shared" si="16"/>
        <v>5</v>
      </c>
      <c r="S74" s="116"/>
      <c r="T74" s="131" t="str">
        <f t="shared" si="21"/>
        <v>4.11.5.</v>
      </c>
      <c r="U74" s="134"/>
    </row>
    <row r="75" spans="1:21" x14ac:dyDescent="0.25">
      <c r="A75" s="66" t="str">
        <f t="shared" si="7"/>
        <v>4.12.</v>
      </c>
      <c r="B75" s="271" t="s">
        <v>375</v>
      </c>
      <c r="C75" s="128"/>
      <c r="D75" s="480"/>
      <c r="E75" s="480"/>
      <c r="F75" s="480"/>
      <c r="G75" s="480"/>
      <c r="H75" s="480"/>
      <c r="I75" s="480"/>
      <c r="J75" s="480"/>
      <c r="K75" s="480"/>
      <c r="L75" s="481"/>
      <c r="N75" s="175" t="s">
        <v>428</v>
      </c>
      <c r="O75" s="134">
        <v>1</v>
      </c>
      <c r="P75" s="116">
        <f t="shared" si="17"/>
        <v>4</v>
      </c>
      <c r="Q75" s="116">
        <f>COUNTIFS($O$1:$O75,1)</f>
        <v>12</v>
      </c>
      <c r="R75" s="116" t="str">
        <f t="shared" si="16"/>
        <v/>
      </c>
      <c r="S75" s="116"/>
      <c r="T75" s="131" t="str">
        <f t="shared" si="21"/>
        <v>4.12.</v>
      </c>
      <c r="U75" s="134"/>
    </row>
    <row r="76" spans="1:21" x14ac:dyDescent="0.25">
      <c r="A76" s="56" t="str">
        <f t="shared" ref="A76:A86" si="23">CONCATENATE($P76, ".", $Q76, IF($R76&lt;&gt;"", CONCATENATE(".", $R76), ""), ".")</f>
        <v>4.12.1.</v>
      </c>
      <c r="B76" s="136" t="s">
        <v>368</v>
      </c>
      <c r="C76" s="127"/>
      <c r="D76" s="483"/>
      <c r="E76" s="483"/>
      <c r="F76" s="483"/>
      <c r="G76" s="483"/>
      <c r="H76" s="483"/>
      <c r="I76" s="483"/>
      <c r="J76" s="483"/>
      <c r="K76" s="483"/>
      <c r="L76" s="483"/>
      <c r="N76" s="175" t="s">
        <v>423</v>
      </c>
      <c r="O76" s="134">
        <v>2</v>
      </c>
      <c r="P76" s="116">
        <f t="shared" si="17"/>
        <v>4</v>
      </c>
      <c r="Q76" s="116">
        <f>COUNTIFS($O$1:$O76,1)</f>
        <v>12</v>
      </c>
      <c r="R76" s="116">
        <f t="shared" si="16"/>
        <v>1</v>
      </c>
      <c r="S76" s="116"/>
      <c r="T76" s="131" t="str">
        <f t="shared" si="21"/>
        <v>4.12.1.</v>
      </c>
      <c r="U76" s="134"/>
    </row>
    <row r="77" spans="1:21" x14ac:dyDescent="0.25">
      <c r="A77" s="56" t="str">
        <f t="shared" si="23"/>
        <v>4.12.2.</v>
      </c>
      <c r="B77" s="22" t="s">
        <v>18</v>
      </c>
      <c r="C77" s="277" t="s">
        <v>20</v>
      </c>
      <c r="D77" s="24"/>
      <c r="E77" s="24"/>
      <c r="F77" s="24"/>
      <c r="G77" s="24"/>
      <c r="H77" s="24"/>
      <c r="I77" s="24"/>
      <c r="J77" s="24"/>
      <c r="K77" s="24"/>
      <c r="L77" s="24"/>
      <c r="N77" s="176" t="s">
        <v>424</v>
      </c>
      <c r="O77" s="134">
        <v>2</v>
      </c>
      <c r="P77" s="116">
        <f t="shared" si="17"/>
        <v>4</v>
      </c>
      <c r="Q77" s="116">
        <f>COUNTIFS($O$1:$O77,1)</f>
        <v>12</v>
      </c>
      <c r="R77" s="116">
        <f t="shared" si="16"/>
        <v>2</v>
      </c>
      <c r="S77" s="116"/>
      <c r="T77" s="131" t="str">
        <f t="shared" si="21"/>
        <v>4.12.2.</v>
      </c>
      <c r="U77" s="134"/>
    </row>
    <row r="78" spans="1:21" x14ac:dyDescent="0.25">
      <c r="A78" s="56" t="str">
        <f t="shared" si="23"/>
        <v>4.12.3.</v>
      </c>
      <c r="B78" s="22" t="s">
        <v>19</v>
      </c>
      <c r="C78" s="14" t="str">
        <f>CONCATENATE("Eur/",C77)</f>
        <v>Eur/vnt.</v>
      </c>
      <c r="D78" s="275" t="str">
        <f>IFERROR(ROUND(D79/D77,2),"-")</f>
        <v>-</v>
      </c>
      <c r="E78" s="137"/>
      <c r="F78" s="137"/>
      <c r="G78" s="137"/>
      <c r="H78" s="137"/>
      <c r="I78" s="137"/>
      <c r="J78" s="137"/>
      <c r="K78" s="137"/>
      <c r="L78" s="137"/>
      <c r="N78" s="175" t="s">
        <v>426</v>
      </c>
      <c r="O78" s="134">
        <v>2</v>
      </c>
      <c r="P78" s="116">
        <f t="shared" si="17"/>
        <v>4</v>
      </c>
      <c r="Q78" s="116">
        <f>COUNTIFS($O$1:$O78,1)</f>
        <v>12</v>
      </c>
      <c r="R78" s="116">
        <f t="shared" si="16"/>
        <v>3</v>
      </c>
      <c r="S78" s="116"/>
      <c r="T78" s="131" t="str">
        <f t="shared" si="21"/>
        <v>4.12.3.</v>
      </c>
      <c r="U78" s="134"/>
    </row>
    <row r="79" spans="1:21" x14ac:dyDescent="0.25">
      <c r="A79" s="56" t="str">
        <f t="shared" si="23"/>
        <v>4.12.4.</v>
      </c>
      <c r="B79" s="30" t="s">
        <v>376</v>
      </c>
      <c r="C79" s="53" t="s">
        <v>15</v>
      </c>
      <c r="D79" s="24"/>
      <c r="E79" s="276">
        <f>ROUND(E77*E78,0)</f>
        <v>0</v>
      </c>
      <c r="F79" s="276">
        <f t="shared" ref="F79:L79" si="24">ROUND(F77*F78,0)</f>
        <v>0</v>
      </c>
      <c r="G79" s="276">
        <f t="shared" si="24"/>
        <v>0</v>
      </c>
      <c r="H79" s="276">
        <f t="shared" si="24"/>
        <v>0</v>
      </c>
      <c r="I79" s="276">
        <f t="shared" si="24"/>
        <v>0</v>
      </c>
      <c r="J79" s="276">
        <f t="shared" si="24"/>
        <v>0</v>
      </c>
      <c r="K79" s="276">
        <f t="shared" si="24"/>
        <v>0</v>
      </c>
      <c r="L79" s="276">
        <f t="shared" si="24"/>
        <v>0</v>
      </c>
      <c r="N79" s="175"/>
      <c r="O79" s="134">
        <v>2</v>
      </c>
      <c r="P79" s="116">
        <f t="shared" si="17"/>
        <v>4</v>
      </c>
      <c r="Q79" s="116">
        <f>COUNTIFS($O$1:$O79,1)</f>
        <v>12</v>
      </c>
      <c r="R79" s="116">
        <f t="shared" si="16"/>
        <v>4</v>
      </c>
      <c r="S79" s="116"/>
      <c r="T79" s="131" t="str">
        <f t="shared" si="21"/>
        <v>4.12.4.</v>
      </c>
      <c r="U79" s="134"/>
    </row>
    <row r="80" spans="1:21" ht="30" customHeight="1" thickBot="1" x14ac:dyDescent="0.3">
      <c r="A80" s="138" t="str">
        <f t="shared" si="23"/>
        <v>4.12.5.</v>
      </c>
      <c r="B80" s="129" t="s">
        <v>379</v>
      </c>
      <c r="C80" s="130"/>
      <c r="D80" s="477"/>
      <c r="E80" s="477"/>
      <c r="F80" s="477"/>
      <c r="G80" s="477"/>
      <c r="H80" s="477"/>
      <c r="I80" s="477"/>
      <c r="J80" s="477"/>
      <c r="K80" s="477"/>
      <c r="L80" s="477"/>
      <c r="N80" s="175" t="s">
        <v>784</v>
      </c>
      <c r="O80" s="134">
        <v>2</v>
      </c>
      <c r="P80" s="116">
        <f t="shared" si="17"/>
        <v>4</v>
      </c>
      <c r="Q80" s="116">
        <f>COUNTIFS($O$1:$O80,1)</f>
        <v>12</v>
      </c>
      <c r="R80" s="116">
        <f t="shared" si="16"/>
        <v>5</v>
      </c>
      <c r="S80" s="116"/>
      <c r="T80" s="131" t="str">
        <f t="shared" si="21"/>
        <v>4.12.5.</v>
      </c>
      <c r="U80" s="134"/>
    </row>
    <row r="81" spans="1:21" x14ac:dyDescent="0.25">
      <c r="A81" s="66" t="str">
        <f t="shared" si="23"/>
        <v>4.13.</v>
      </c>
      <c r="B81" s="271" t="s">
        <v>375</v>
      </c>
      <c r="C81" s="128"/>
      <c r="D81" s="480"/>
      <c r="E81" s="480"/>
      <c r="F81" s="480"/>
      <c r="G81" s="480"/>
      <c r="H81" s="480"/>
      <c r="I81" s="480"/>
      <c r="J81" s="480"/>
      <c r="K81" s="480"/>
      <c r="L81" s="481"/>
      <c r="N81" s="175" t="s">
        <v>428</v>
      </c>
      <c r="O81" s="134">
        <v>1</v>
      </c>
      <c r="P81" s="116">
        <f t="shared" si="17"/>
        <v>4</v>
      </c>
      <c r="Q81" s="116">
        <f>COUNTIFS($O$1:$O81,1)</f>
        <v>13</v>
      </c>
      <c r="R81" s="116" t="str">
        <f t="shared" ref="R81:R86" si="25">IF($O81=$R$1,IF($O81&lt;&gt;$O80, 1, R80+1),"")</f>
        <v/>
      </c>
      <c r="S81" s="116"/>
      <c r="T81" s="131" t="str">
        <f t="shared" si="21"/>
        <v>4.13.</v>
      </c>
      <c r="U81" s="134"/>
    </row>
    <row r="82" spans="1:21" x14ac:dyDescent="0.25">
      <c r="A82" s="56" t="str">
        <f t="shared" si="23"/>
        <v>4.13.1.</v>
      </c>
      <c r="B82" s="136" t="s">
        <v>368</v>
      </c>
      <c r="C82" s="127"/>
      <c r="D82" s="478"/>
      <c r="E82" s="478"/>
      <c r="F82" s="478"/>
      <c r="G82" s="478"/>
      <c r="H82" s="478"/>
      <c r="I82" s="478"/>
      <c r="J82" s="478"/>
      <c r="K82" s="478"/>
      <c r="L82" s="479"/>
      <c r="N82" s="175" t="s">
        <v>423</v>
      </c>
      <c r="O82" s="134">
        <v>2</v>
      </c>
      <c r="P82" s="116">
        <f t="shared" si="17"/>
        <v>4</v>
      </c>
      <c r="Q82" s="116">
        <f>COUNTIFS($O$1:$O82,1)</f>
        <v>13</v>
      </c>
      <c r="R82" s="116">
        <f t="shared" si="25"/>
        <v>1</v>
      </c>
      <c r="S82" s="116"/>
      <c r="T82" s="131" t="str">
        <f t="shared" si="21"/>
        <v>4.13.1.</v>
      </c>
      <c r="U82" s="134"/>
    </row>
    <row r="83" spans="1:21" x14ac:dyDescent="0.25">
      <c r="A83" s="56" t="str">
        <f t="shared" si="23"/>
        <v>4.13.2.</v>
      </c>
      <c r="B83" s="22" t="s">
        <v>18</v>
      </c>
      <c r="C83" s="277" t="s">
        <v>383</v>
      </c>
      <c r="D83" s="24"/>
      <c r="E83" s="24"/>
      <c r="F83" s="24"/>
      <c r="G83" s="24"/>
      <c r="H83" s="24"/>
      <c r="I83" s="24"/>
      <c r="J83" s="24"/>
      <c r="K83" s="24"/>
      <c r="L83" s="24"/>
      <c r="N83" s="176" t="s">
        <v>424</v>
      </c>
      <c r="O83" s="134">
        <v>2</v>
      </c>
      <c r="P83" s="116">
        <f t="shared" si="17"/>
        <v>4</v>
      </c>
      <c r="Q83" s="116">
        <f>COUNTIFS($O$1:$O83,1)</f>
        <v>13</v>
      </c>
      <c r="R83" s="116">
        <f t="shared" si="25"/>
        <v>2</v>
      </c>
      <c r="S83" s="116"/>
      <c r="T83" s="131" t="str">
        <f t="shared" si="21"/>
        <v>4.13.2.</v>
      </c>
      <c r="U83" s="134"/>
    </row>
    <row r="84" spans="1:21" x14ac:dyDescent="0.25">
      <c r="A84" s="56" t="str">
        <f t="shared" si="23"/>
        <v>4.13.3.</v>
      </c>
      <c r="B84" s="22" t="s">
        <v>19</v>
      </c>
      <c r="C84" s="14" t="str">
        <f>CONCATENATE("Eur/",C83)</f>
        <v>Eur/m3</v>
      </c>
      <c r="D84" s="275" t="str">
        <f>IFERROR(ROUND(D85/D83,2),"-")</f>
        <v>-</v>
      </c>
      <c r="E84" s="137"/>
      <c r="F84" s="137"/>
      <c r="G84" s="137"/>
      <c r="H84" s="137"/>
      <c r="I84" s="137"/>
      <c r="J84" s="137"/>
      <c r="K84" s="137"/>
      <c r="L84" s="137"/>
      <c r="N84" s="175" t="s">
        <v>426</v>
      </c>
      <c r="O84" s="134">
        <v>2</v>
      </c>
      <c r="P84" s="116">
        <f t="shared" si="17"/>
        <v>4</v>
      </c>
      <c r="Q84" s="116">
        <f>COUNTIFS($O$1:$O84,1)</f>
        <v>13</v>
      </c>
      <c r="R84" s="116">
        <f t="shared" si="25"/>
        <v>3</v>
      </c>
      <c r="S84" s="116"/>
      <c r="T84" s="131" t="str">
        <f t="shared" si="21"/>
        <v>4.13.3.</v>
      </c>
      <c r="U84" s="134"/>
    </row>
    <row r="85" spans="1:21" x14ac:dyDescent="0.25">
      <c r="A85" s="56" t="str">
        <f t="shared" si="23"/>
        <v>4.13.4.</v>
      </c>
      <c r="B85" s="30" t="s">
        <v>376</v>
      </c>
      <c r="C85" s="53" t="s">
        <v>15</v>
      </c>
      <c r="D85" s="24"/>
      <c r="E85" s="276">
        <f>ROUND(E83*E84,0)</f>
        <v>0</v>
      </c>
      <c r="F85" s="276">
        <f t="shared" ref="F85:L85" si="26">ROUND(F83*F84,0)</f>
        <v>0</v>
      </c>
      <c r="G85" s="276">
        <f t="shared" si="26"/>
        <v>0</v>
      </c>
      <c r="H85" s="276">
        <f t="shared" si="26"/>
        <v>0</v>
      </c>
      <c r="I85" s="276">
        <f t="shared" si="26"/>
        <v>0</v>
      </c>
      <c r="J85" s="276">
        <f t="shared" si="26"/>
        <v>0</v>
      </c>
      <c r="K85" s="276">
        <f t="shared" si="26"/>
        <v>0</v>
      </c>
      <c r="L85" s="276">
        <f t="shared" si="26"/>
        <v>0</v>
      </c>
      <c r="N85" s="175"/>
      <c r="O85" s="134">
        <v>2</v>
      </c>
      <c r="P85" s="116">
        <f t="shared" si="17"/>
        <v>4</v>
      </c>
      <c r="Q85" s="116">
        <f>COUNTIFS($O$1:$O85,1)</f>
        <v>13</v>
      </c>
      <c r="R85" s="116">
        <f t="shared" si="25"/>
        <v>4</v>
      </c>
      <c r="S85" s="116"/>
      <c r="T85" s="131" t="str">
        <f t="shared" si="21"/>
        <v>4.13.4.</v>
      </c>
      <c r="U85" s="134"/>
    </row>
    <row r="86" spans="1:21" ht="30" customHeight="1" thickBot="1" x14ac:dyDescent="0.3">
      <c r="A86" s="138" t="str">
        <f t="shared" si="23"/>
        <v>4.13.5.</v>
      </c>
      <c r="B86" s="129" t="s">
        <v>379</v>
      </c>
      <c r="C86" s="130"/>
      <c r="D86" s="477"/>
      <c r="E86" s="477"/>
      <c r="F86" s="477"/>
      <c r="G86" s="477"/>
      <c r="H86" s="477"/>
      <c r="I86" s="477"/>
      <c r="J86" s="477"/>
      <c r="K86" s="477"/>
      <c r="L86" s="477"/>
      <c r="N86" s="175" t="s">
        <v>784</v>
      </c>
      <c r="O86" s="134">
        <v>2</v>
      </c>
      <c r="P86" s="116">
        <f t="shared" si="17"/>
        <v>4</v>
      </c>
      <c r="Q86" s="116">
        <f>COUNTIFS($O$1:$O86,1)</f>
        <v>13</v>
      </c>
      <c r="R86" s="116">
        <f t="shared" si="25"/>
        <v>5</v>
      </c>
      <c r="S86" s="116"/>
      <c r="T86" s="131" t="str">
        <f t="shared" si="21"/>
        <v>4.13.5.</v>
      </c>
      <c r="U86" s="134"/>
    </row>
  </sheetData>
  <sheetProtection algorithmName="SHA-512" hashValue="xO+xEH2B3SD8wnhkMPMd2D8cBbnJvLtz4DJwCFFYYzQPVQ7aiKF3SfzfZCD4dHqVrABfiJxvj58by/JM3GgMgg==" saltValue="2xjx/jglazbFdM3oS6O/Gw==" spinCount="100000" sheet="1" objects="1" scenarios="1"/>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Ginta Balsienė</cp:lastModifiedBy>
  <cp:lastPrinted>2024-03-13T08:19:54Z</cp:lastPrinted>
  <dcterms:created xsi:type="dcterms:W3CDTF">2023-12-06T11:26:15Z</dcterms:created>
  <dcterms:modified xsi:type="dcterms:W3CDTF">2024-09-04T06:08:45Z</dcterms:modified>
</cp:coreProperties>
</file>